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SSC\2--Teams\5--Back_Office_EDM\20-Projekt\2--BTU\Blieskastel St. Ingbert  GPT\Dokumente\SWI\"/>
    </mc:Choice>
  </mc:AlternateContent>
  <xr:revisionPtr revIDLastSave="0" documentId="13_ncr:1_{CE9A0866-8CF9-42A3-B650-0AA654B57690}" xr6:coauthVersionLast="47" xr6:coauthVersionMax="47" xr10:uidLastSave="{00000000-0000-0000-0000-000000000000}"/>
  <bookViews>
    <workbookView xWindow="-110" yWindow="-110" windowWidth="25820" windowHeight="1416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7" l="1"/>
  <c r="J8" i="7"/>
  <c r="F11" i="7"/>
  <c r="H11" i="7"/>
  <c r="I11" i="7"/>
  <c r="J11" i="7"/>
  <c r="K11" i="7"/>
  <c r="L11" i="7"/>
  <c r="M11" i="7"/>
  <c r="N11" i="7"/>
  <c r="O11" i="7"/>
  <c r="P11" i="7"/>
  <c r="R11" i="7"/>
  <c r="S11" i="7"/>
  <c r="T11" i="7"/>
  <c r="U11" i="7"/>
  <c r="V11" i="7"/>
  <c r="W11" i="7"/>
  <c r="F61" i="17"/>
  <c r="G61" i="17"/>
  <c r="H61" i="17"/>
  <c r="I61" i="17"/>
  <c r="J61" i="17"/>
  <c r="K61" i="17"/>
  <c r="L61" i="17"/>
  <c r="M61" i="17"/>
  <c r="N61" i="17"/>
  <c r="G27" i="17"/>
  <c r="H27" i="17"/>
  <c r="I27" i="17"/>
  <c r="J27" i="17"/>
  <c r="K27" i="17"/>
  <c r="L27" i="17"/>
  <c r="M27" i="17"/>
  <c r="N27" i="17"/>
  <c r="E27" i="17"/>
  <c r="X11" i="7" l="1"/>
  <c r="Q11" i="7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H21" i="17" l="1"/>
  <c r="F21" i="17"/>
  <c r="G21" i="17"/>
  <c r="J32" i="17"/>
  <c r="N32" i="17"/>
  <c r="G32" i="17"/>
  <c r="K32" i="17"/>
  <c r="F32" i="17"/>
  <c r="H32" i="17"/>
  <c r="L32" i="17"/>
  <c r="I32" i="17"/>
  <c r="M32" i="17"/>
  <c r="K21" i="17"/>
  <c r="L21" i="17"/>
  <c r="I21" i="17"/>
  <c r="M21" i="17"/>
  <c r="J21" i="17"/>
  <c r="N21" i="17"/>
  <c r="D57" i="17"/>
  <c r="D67" i="17"/>
  <c r="E21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M8" i="4"/>
  <c r="M7" i="4"/>
  <c r="C5" i="1"/>
  <c r="D6" i="15"/>
  <c r="D6" i="7"/>
  <c r="Q18" i="7" l="1"/>
  <c r="Q13" i="7"/>
  <c r="Q15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<sst xmlns="http://schemas.openxmlformats.org/spreadsheetml/2006/main" count="1397" uniqueCount="680">
  <si>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</si>
  <si>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</si>
  <si>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</si>
  <si>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</si>
  <si>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</si>
  <si>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</si>
  <si>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</si>
  <si>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</si>
  <si>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</si>
  <si>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</si>
  <si>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</si>
  <si>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</si>
  <si>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</si>
  <si>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</si>
  <si>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</si>
  <si>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</si>
  <si>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</si>
  <si>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</si>
  <si>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</si>
  <si>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</si>
  <si>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</si>
  <si>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</si>
  <si>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</si>
  <si>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</si>
  <si>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</si>
  <si>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</si>
  <si>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</si>
  <si>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</si>
  <si>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</si>
  <si>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</si>
  <si>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</si>
  <si>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</si>
  <si>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</si>
  <si>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</si>
  <si>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</si>
  <si>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</si>
  <si>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</si>
  <si>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</si>
  <si>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</si>
  <si>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</si>
  <si>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</si>
  <si>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</si>
  <si>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</si>
  <si>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</si>
  <si>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</si>
  <si>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</si>
  <si>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</si>
  <si>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</si>
  <si>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</si>
  <si>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</si>
  <si>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</si>
  <si>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</si>
  <si>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</si>
  <si>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</si>
  <si>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</si>
  <si>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</si>
  <si>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</si>
  <si>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</si>
  <si>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</si>
  <si>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</si>
  <si>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</si>
  <si>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</si>
  <si>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</si>
  <si>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</si>
  <si>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</si>
  <si>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</si>
  <si>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</si>
  <si>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</si>
  <si>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</si>
  <si>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</si>
  <si>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</si>
  <si>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</si>
  <si>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</si>
  <si>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</si>
  <si>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</si>
  <si>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</si>
  <si>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</si>
  <si>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</si>
  <si>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</si>
  <si>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</si>
  <si>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</si>
  <si>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</si>
  <si>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</si>
  <si>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</si>
  <si>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</si>
  <si>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</si>
  <si>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</si>
  <si>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</si>
  <si>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</si>
  <si>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</si>
  <si>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</si>
  <si>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</si>
  <si>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</si>
  <si>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</si>
  <si>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</si>
  <si>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</si>
  <si>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</si>
  <si>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</si>
  <si>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</si>
  <si>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</si>
  <si>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</si>
  <si>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</si>
  <si>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</si>
  <si>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</si>
  <si>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</si>
  <si>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</si>
  <si>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</si>
  <si>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</si>
  <si>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</si>
  <si>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</si>
  <si>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</si>
  <si>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</si>
  <si>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</si>
  <si>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</si>
  <si>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</si>
  <si>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</si>
  <si>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</si>
  <si>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</si>
  <si>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</si>
  <si>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</si>
  <si>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</si>
  <si>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</si>
  <si>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</si>
  <si>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</si>
  <si>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</si>
  <si>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</si>
  <si>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</si>
  <si>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</si>
  <si>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</si>
  <si>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</si>
  <si>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</si>
  <si>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</si>
  <si>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</si>
  <si>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</si>
  <si>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</si>
  <si>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</si>
  <si>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</si>
  <si>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</si>
  <si>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</si>
  <si>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</si>
  <si>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</si>
  <si>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</si>
  <si>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</si>
  <si>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</si>
  <si>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</si>
  <si>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</si>
  <si>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</si>
  <si>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</si>
  <si>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</si>
  <si>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</si>
  <si>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</si>
  <si>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</si>
  <si>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</si>
  <si>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</si>
  <si>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</si>
  <si>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</si>
  <si>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</si>
  <si>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</si>
  <si>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</si>
  <si>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</si>
  <si>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</si>
  <si>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</si>
  <si>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</si>
  <si>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</si>
  <si>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</si>
  <si>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</si>
  <si>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</si>
  <si>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</si>
  <si>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</si>
  <si>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</si>
  <si>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</si>
  <si>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</si>
  <si>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</si>
  <si>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</si>
  <si>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</si>
  <si>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</si>
  <si>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</si>
  <si>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</si>
  <si>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</si>
  <si>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</si>
  <si>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</si>
  <si>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</si>
  <si>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</si>
  <si>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</si>
  <si>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</si>
  <si>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</si>
  <si>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</si>
  <si>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</si>
  <si>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</si>
  <si>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</si>
  <si>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</si>
  <si>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</si>
  <si>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</si>
  <si>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</si>
  <si>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</si>
  <si>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</si>
  <si>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</si>
  <si>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</si>
  <si>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</si>
  <si>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</si>
  <si>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</si>
  <si>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</si>
  <si>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</si>
  <si>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</si>
  <si>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</si>
  <si>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</si>
  <si>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</si>
  <si>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</si>
  <si>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</si>
  <si>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</si>
  <si>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</si>
  <si>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</si>
  <si>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</si>
  <si>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</si>
  <si>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</si>
  <si>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</si>
  <si>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</si>
  <si>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</si>
  <si>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</si>
  <si>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</si>
  <si>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</si>
  <si>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</si>
  <si>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</si>
  <si>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</si>
  <si>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</si>
  <si>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</si>
  <si>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</si>
  <si>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</si>
  <si>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</si>
  <si>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</si>
  <si>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</si>
  <si>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</si>
  <si>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</si>
  <si>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</si>
  <si>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</si>
  <si>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</si>
  <si>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</si>
  <si>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</si>
  <si>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</si>
  <si>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</si>
  <si>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</si>
  <si>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</si>
  <si>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</si>
  <si>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</si>
  <si>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</si>
  <si>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</si>
  <si>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</si>
  <si>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</si>
  <si>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</si>
  <si>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</si>
  <si>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</si>
  <si>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</si>
  <si>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</si>
  <si>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</si>
  <si>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</si>
  <si>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</si>
  <si>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</si>
  <si>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</si>
  <si>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</si>
  <si>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</si>
  <si>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</si>
  <si>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</si>
  <si>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</si>
  <si>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</si>
  <si>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</si>
  <si>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</si>
  <si>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</si>
  <si>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</si>
  <si>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</si>
  <si>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</si>
  <si>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</si>
  <si>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</si>
  <si>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</si>
  <si>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</si>
  <si>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</si>
  <si>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</si>
  <si>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</si>
  <si>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</si>
  <si>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</si>
  <si>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</si>
  <si>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</si>
  <si>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</si>
  <si>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</si>
  <si>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</si>
  <si>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</si>
  <si>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</si>
  <si>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</si>
  <si>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</si>
  <si>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</si>
  <si>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</si>
  <si>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</si>
  <si>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</si>
  <si>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</si>
  <si>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</si>
  <si>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</si>
  <si>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</si>
  <si>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</si>
  <si>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</si>
  <si>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</si>
  <si>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</si>
  <si>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</si>
  <si>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</si>
  <si>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</si>
  <si>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</si>
  <si>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</si>
  <si>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</si>
  <si>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</si>
  <si>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</si>
  <si>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</si>
  <si>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</si>
  <si>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</si>
  <si>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</si>
  <si>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</si>
  <si>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</si>
  <si>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</si>
  <si>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</si>
  <si>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</si>
  <si>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</si>
  <si>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</si>
  <si>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</si>
  <si>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</si>
  <si>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</si>
  <si>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</si>
  <si>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</si>
  <si>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</si>
  <si>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</si>
  <si>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</si>
  <si>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</si>
  <si>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</si>
  <si>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</si>
  <si>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</si>
  <si>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</si>
  <si>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</si>
  <si>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</si>
  <si>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</si>
  <si>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</si>
  <si>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</si>
  <si>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</si>
  <si>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</si>
  <si>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</si>
  <si>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</si>
  <si>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</si>
  <si>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</si>
  <si>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</si>
  <si>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</si>
  <si>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</si>
  <si>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</si>
  <si>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</si>
  <si>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</si>
  <si>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</si>
  <si>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</si>
  <si>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</si>
  <si>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</si>
  <si>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</si>
  <si>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</si>
  <si>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</si>
  <si>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</si>
  <si>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</si>
  <si>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</si>
  <si>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</si>
  <si>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</si>
  <si>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</si>
  <si>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</si>
  <si>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</si>
  <si>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</si>
  <si>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</si>
  <si>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</si>
  <si>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</si>
  <si>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</si>
  <si>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</si>
  <si>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</si>
  <si>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</si>
  <si>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</si>
  <si>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</si>
  <si>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</si>
  <si>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</si>
  <si>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</si>
  <si>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</si>
  <si>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</si>
  <si>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</si>
  <si>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</si>
  <si>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</si>
  <si>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</si>
  <si>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</si>
  <si>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</si>
  <si>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</si>
  <si>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</si>
  <si>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</si>
  <si>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</si>
  <si>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</si>
  <si>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</si>
  <si>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</si>
  <si>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</si>
  <si>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</si>
  <si>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</si>
  <si>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</si>
  <si>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</si>
  <si>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</si>
  <si>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</si>
  <si>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</si>
  <si>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</si>
  <si>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</si>
  <si>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</si>
  <si>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</si>
  <si>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</si>
  <si>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</si>
  <si>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</si>
  <si>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</si>
  <si>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</si>
  <si>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</si>
  <si>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</si>
  <si>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</si>
  <si>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</si>
  <si>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</si>
  <si>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</si>
  <si>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</si>
  <si>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</si>
  <si>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</si>
  <si>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</si>
  <si>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</si>
  <si>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</si>
  <si>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</si>
  <si>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</si>
  <si>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</si>
  <si>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</si>
  <si>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</si>
  <si>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</si>
  <si>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</si>
  <si>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</si>
  <si>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</si>
  <si>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</si>
  <si>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</si>
  <si>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</si>
  <si>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</si>
  <si>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</si>
  <si>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</si>
  <si>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</si>
  <si>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</si>
  <si>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</si>
  <si>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</si>
  <si>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</si>
  <si>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</si>
  <si>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</si>
  <si>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</si>
  <si>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</si>
  <si>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</si>
  <si>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</si>
  <si>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</si>
  <si>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</si>
  <si>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</si>
  <si>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</si>
  <si>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</si>
  <si>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</si>
  <si>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</si>
  <si>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</si>
  <si>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</si>
  <si>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</si>
  <si>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</si>
  <si>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</si>
  <si>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</si>
  <si>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</si>
  <si>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</si>
  <si>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</si>
  <si>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</si>
  <si>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</si>
  <si>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</si>
  <si>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</si>
  <si>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</si>
  <si>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</si>
  <si>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</si>
  <si>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</si>
  <si>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</si>
  <si>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</si>
  <si>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</si>
  <si>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</si>
  <si>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</si>
  <si>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</si>
  <si>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</si>
  <si>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</si>
  <si>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</si>
  <si>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</si>
  <si>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</si>
  <si>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</si>
  <si>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</si>
  <si>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</si>
  <si>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</si>
  <si>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</si>
  <si>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</si>
  <si>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</si>
  <si>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</si>
  <si>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</si>
  <si>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</si>
  <si>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</si>
  <si>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</si>
  <si>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</si>
  <si>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</si>
  <si>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</si>
  <si>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</si>
  <si>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</si>
  <si>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</si>
  <si>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</si>
  <si>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</si>
  <si>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</si>
  <si>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</si>
  <si>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</si>
  <si>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</si>
  <si>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</si>
  <si>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</si>
  <si>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</si>
  <si>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</si>
  <si>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</si>
  <si>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</si>
  <si>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</si>
  <si>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</si>
  <si>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</si>
  <si>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</si>
  <si>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</si>
  <si>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</si>
  <si>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</si>
  <si>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</si>
  <si>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</si>
  <si>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</si>
  <si>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</si>
  <si>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</si>
  <si>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</si>
  <si>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</si>
  <si>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</si>
  <si>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</si>
  <si>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</si>
  <si>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</si>
  <si>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</si>
  <si>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</si>
  <si>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</si>
  <si>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</si>
  <si>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</si>
  <si>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</si>
  <si>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</si>
  <si>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</si>
  <si>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</si>
  <si>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</si>
  <si>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</si>
  <si>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</si>
  <si>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</si>
  <si>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</si>
  <si>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</si>
  <si>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</si>
  <si>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</si>
  <si>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</si>
  <si>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</si>
  <si>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</si>
  <si>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</si>
  <si>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</si>
  <si>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</si>
  <si>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</si>
  <si>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</si>
  <si>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</si>
  <si>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</si>
  <si>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</si>
  <si>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</si>
  <si>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</si>
  <si>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</si>
  <si>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</si>
  <si>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</si>
  <si>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</si>
  <si>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</si>
  <si>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</si>
  <si>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</si>
  <si>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</si>
  <si>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</si>
  <si>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</si>
  <si>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</si>
  <si>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</si>
  <si>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</si>
  <si>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</si>
  <si>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</si>
  <si>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</si>
  <si>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</si>
  <si>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</si>
  <si>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</si>
  <si>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</si>
  <si>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</si>
  <si>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</si>
  <si>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</si>
  <si>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</si>
  <si>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</si>
  <si>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</si>
  <si>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</si>
  <si>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</si>
  <si>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</si>
  <si>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</si>
  <si>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</si>
  <si>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</si>
  <si>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</si>
  <si>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</si>
  <si>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</si>
  <si>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</si>
  <si>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</si>
  <si>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</si>
  <si>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</si>
  <si>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</si>
  <si>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</si>
  <si>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</si>
  <si>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</si>
  <si>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</si>
  <si>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</si>
  <si>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</si>
  <si>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</si>
  <si>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</si>
  <si>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</si>
  <si>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</si>
  <si>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</si>
  <si>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</si>
  <si>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</si>
  <si>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</si>
  <si>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</si>
  <si>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</si>
  <si>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</si>
  <si>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</si>
  <si>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</si>
  <si>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</si>
  <si>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</si>
  <si>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</si>
  <si>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</si>
  <si>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</si>
  <si>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</si>
  <si>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</si>
  <si>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</si>
  <si>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</si>
  <si>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</si>
  <si>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</si>
  <si>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</si>
  <si>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</si>
  <si>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</si>
  <si>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</si>
  <si>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</si>
  <si>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</si>
  <si>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</si>
  <si>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</si>
  <si>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</si>
  <si>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</si>
  <si>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</si>
  <si>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</si>
  <si>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</si>
  <si>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</si>
  <si>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</si>
  <si>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</si>
  <si>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</si>
  <si>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</si>
  <si>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</si>
  <si>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</si>
  <si>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</si>
  <si>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</si>
  <si>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</si>
  <si>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</si>
  <si>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</si>
  <si>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</si>
  <si>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</si>
  <si>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</si>
  <si>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</si>
  <si>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</si>
  <si>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</si>
  <si>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</si>
  <si>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</si>
  <si>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</si>
  <si>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</si>
  <si>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</si>
  <si>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</si>
  <si>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St. Ingbert</t>
  </si>
  <si>
    <t>9870050600006</t>
  </si>
  <si>
    <t>Reinhold-Becker-Str. 1</t>
  </si>
  <si>
    <t>St. Ingbert</t>
  </si>
  <si>
    <t>Klaus Hoffmann</t>
  </si>
  <si>
    <t>k.hoffmann@sw-igb.de</t>
  </si>
  <si>
    <t>06894 - 9552 265</t>
  </si>
  <si>
    <t>THE0NKH700506000</t>
  </si>
  <si>
    <t>Saarbrücken-Ensheim</t>
  </si>
  <si>
    <t>09.</t>
  </si>
  <si>
    <t>DE_GBA33</t>
  </si>
  <si>
    <t>DE_GMF33</t>
  </si>
  <si>
    <t>Stadtwerke St. Ingbert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</si>
</sst>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B2" sqref="B2"/>
    </sheetView>
  </sheetViews>
  <sheetFormatPr baseColWidth="10" defaultColWidth="0" defaultRowHeight="14.5" zeroHeight="1"/>
  <cols>
    <col min="1" max="1" width="2.81640625" customWidth="1"/>
    <col min="2" max="15" width="11.453125" customWidth="1"/>
    <col min="16" max="16384" width="11.453125" hidden="1"/>
  </cols>
  <sheetData>
    <row r="1" spans="2:7" ht="75.75" customHeight="1"/>
    <row r="2" spans="2:7" ht="23.5">
      <c r="B2" s="6" t="s">
        <v>471</v>
      </c>
    </row>
    <row r="3" spans="2:7"/>
    <row r="4" spans="2:7">
      <c r="B4" t="s">
        <v>466</v>
      </c>
    </row>
    <row r="5" spans="2:7">
      <c r="B5" t="s">
        <v>467</v>
      </c>
    </row>
    <row r="6" spans="2:7"/>
    <row r="7" spans="2:7">
      <c r="B7" t="s">
        <v>344</v>
      </c>
    </row>
    <row r="8" spans="2:7">
      <c r="B8" t="s">
        <v>468</v>
      </c>
    </row>
    <row r="9" spans="2:7"/>
    <row r="10" spans="2:7">
      <c r="B10" s="10" t="s">
        <v>453</v>
      </c>
    </row>
    <row r="11" spans="2:7">
      <c r="B11" t="s">
        <v>506</v>
      </c>
    </row>
    <row r="12" spans="2:7">
      <c r="B12" t="s">
        <v>507</v>
      </c>
    </row>
    <row r="13" spans="2:7">
      <c r="B13" t="s">
        <v>515</v>
      </c>
    </row>
    <row r="14" spans="2:7"/>
    <row r="15" spans="2:7">
      <c r="B15" s="14" t="s">
        <v>470</v>
      </c>
    </row>
    <row r="16" spans="2:7">
      <c r="G16" s="7"/>
    </row>
    <row r="17" spans="2:3">
      <c r="B17" s="2" t="s">
        <v>351</v>
      </c>
    </row>
    <row r="18" spans="2:3">
      <c r="B18" s="12" t="s">
        <v>345</v>
      </c>
    </row>
    <row r="19" spans="2:3">
      <c r="B19" s="12" t="s">
        <v>346</v>
      </c>
    </row>
    <row r="20" spans="2:3">
      <c r="B20" s="2"/>
    </row>
    <row r="21" spans="2:3">
      <c r="B21" s="2" t="s">
        <v>469</v>
      </c>
    </row>
    <row r="22" spans="2:3">
      <c r="B22" s="12" t="s">
        <v>347</v>
      </c>
    </row>
    <row r="23" spans="2:3">
      <c r="B23" s="12" t="s">
        <v>348</v>
      </c>
    </row>
    <row r="24" spans="2:3">
      <c r="B24" s="2"/>
    </row>
    <row r="25" spans="2:3">
      <c r="B25" s="2" t="s">
        <v>352</v>
      </c>
    </row>
    <row r="26" spans="2:3">
      <c r="B26" s="12" t="s">
        <v>349</v>
      </c>
    </row>
    <row r="27" spans="2:3">
      <c r="B27" s="12" t="s">
        <v>350</v>
      </c>
    </row>
    <row r="28" spans="2:3"/>
    <row r="29" spans="2:3">
      <c r="B29" s="15" t="s">
        <v>353</v>
      </c>
      <c r="C29" s="13">
        <v>43663</v>
      </c>
    </row>
    <row r="30" spans="2:3">
      <c r="B30" s="15" t="s">
        <v>354</v>
      </c>
      <c r="C30" s="286" t="s">
        <v>662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topLeftCell="A2" zoomScale="98" zoomScaleNormal="98" workbookViewId="0">
      <selection activeCell="D4" sqref="D4"/>
    </sheetView>
  </sheetViews>
  <sheetFormatPr baseColWidth="10" defaultColWidth="0" defaultRowHeight="14.5" zeroHeight="1"/>
  <cols>
    <col min="1" max="1" width="2.81640625" customWidth="1"/>
    <col min="2" max="2" width="5.81640625" customWidth="1"/>
    <col min="3" max="3" width="65" customWidth="1"/>
    <col min="4" max="4" width="35.81640625" customWidth="1"/>
    <col min="5" max="5" width="11.453125" customWidth="1"/>
    <col min="6" max="6" width="75.7265625" hidden="1" customWidth="1"/>
    <col min="7" max="16384" width="11.453125" hidden="1"/>
  </cols>
  <sheetData>
    <row r="1" spans="2:6" ht="75.75" customHeight="1"/>
    <row r="2" spans="2:6" ht="23.5">
      <c r="B2" s="6" t="s">
        <v>267</v>
      </c>
    </row>
    <row r="3" spans="2:6" ht="15" customHeight="1">
      <c r="B3" s="16"/>
    </row>
    <row r="4" spans="2:6" ht="15" customHeight="1">
      <c r="B4" s="16"/>
      <c r="C4" s="48" t="s">
        <v>510</v>
      </c>
      <c r="D4" s="17">
        <v>44941</v>
      </c>
      <c r="F4" s="8"/>
    </row>
    <row r="5" spans="2:6" ht="15" customHeight="1">
      <c r="B5" s="16"/>
    </row>
    <row r="6" spans="2:6" ht="15" customHeight="1">
      <c r="B6" s="16"/>
      <c r="C6" s="48" t="s">
        <v>511</v>
      </c>
      <c r="D6" s="17">
        <v>44958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268</v>
      </c>
      <c r="D9" s="29" t="s">
        <v>679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491</v>
      </c>
      <c r="D11" s="29" t="s">
        <v>668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269</v>
      </c>
      <c r="D13" s="29" t="s">
        <v>669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270</v>
      </c>
      <c r="D15" s="30">
        <v>66386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271</v>
      </c>
      <c r="D17" s="29" t="s">
        <v>670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272</v>
      </c>
      <c r="D19" s="29" t="s">
        <v>671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273</v>
      </c>
      <c r="D21" s="31" t="s">
        <v>672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274</v>
      </c>
      <c r="D23" s="29" t="s">
        <v>673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492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465</v>
      </c>
      <c r="D27" s="29" t="s">
        <v>402</v>
      </c>
      <c r="E27" s="27"/>
    </row>
    <row r="28" spans="2:15">
      <c r="C28" s="47" t="s">
        <v>509</v>
      </c>
      <c r="D28" s="33" t="s">
        <v>670</v>
      </c>
      <c r="E28" s="26"/>
    </row>
    <row r="29" spans="2:15">
      <c r="C29" s="16" t="s">
        <v>402</v>
      </c>
      <c r="D29" s="32" t="s">
        <v>670</v>
      </c>
      <c r="E29" s="28"/>
    </row>
    <row r="30" spans="2:15">
      <c r="C30" s="16" t="s">
        <v>403</v>
      </c>
      <c r="D30" s="32"/>
      <c r="E30" s="28"/>
    </row>
    <row r="31" spans="2:15">
      <c r="C31" s="16" t="s">
        <v>428</v>
      </c>
      <c r="D31" s="32"/>
      <c r="E31" s="28"/>
    </row>
    <row r="32" spans="2:15">
      <c r="C32" s="16" t="s">
        <v>429</v>
      </c>
      <c r="D32" s="32"/>
      <c r="E32" s="28"/>
    </row>
    <row r="33" spans="3:5">
      <c r="C33" s="16" t="s">
        <v>430</v>
      </c>
      <c r="D33" s="32"/>
      <c r="E33" s="28"/>
    </row>
    <row r="34" spans="3:5">
      <c r="C34" s="16" t="s">
        <v>431</v>
      </c>
      <c r="D34" s="32"/>
      <c r="E34" s="28"/>
    </row>
    <row r="35" spans="3:5">
      <c r="C35" s="16" t="s">
        <v>432</v>
      </c>
      <c r="D35" s="32"/>
      <c r="E35" s="28"/>
    </row>
    <row r="36" spans="3:5">
      <c r="C36" s="16" t="s">
        <v>433</v>
      </c>
      <c r="D36" s="32"/>
      <c r="E36" s="28"/>
    </row>
    <row r="37" spans="3:5">
      <c r="C37" s="16" t="s">
        <v>434</v>
      </c>
      <c r="D37" s="32"/>
      <c r="E37" s="28"/>
    </row>
    <row r="38" spans="3:5">
      <c r="C38" s="16" t="s">
        <v>437</v>
      </c>
      <c r="D38" s="32"/>
      <c r="E38" s="28"/>
    </row>
    <row r="39" spans="3:5">
      <c r="C39" s="16" t="s">
        <v>438</v>
      </c>
      <c r="D39" s="32"/>
      <c r="E39" s="28"/>
    </row>
    <row r="40" spans="3:5">
      <c r="C40" s="16" t="s">
        <v>439</v>
      </c>
      <c r="D40" s="32"/>
      <c r="E40" s="28"/>
    </row>
    <row r="41" spans="3:5">
      <c r="C41" s="16" t="s">
        <v>440</v>
      </c>
      <c r="D41" s="32"/>
      <c r="E41" s="28"/>
    </row>
    <row r="42" spans="3:5">
      <c r="C42" s="16" t="s">
        <v>441</v>
      </c>
      <c r="D42" s="32"/>
      <c r="E42" s="28"/>
    </row>
    <row r="43" spans="3:5">
      <c r="C43" s="16" t="s">
        <v>442</v>
      </c>
      <c r="D43" s="32"/>
      <c r="E43" s="28"/>
    </row>
    <row r="44" spans="3:5">
      <c r="C44" s="16" t="s">
        <v>443</v>
      </c>
      <c r="D44" s="32"/>
      <c r="E44" s="28"/>
    </row>
    <row r="45" spans="3:5">
      <c r="C45" s="16" t="s">
        <v>444</v>
      </c>
      <c r="D45" s="32"/>
      <c r="E45" s="28"/>
    </row>
    <row r="46" spans="3:5">
      <c r="C46" s="16" t="s">
        <v>445</v>
      </c>
      <c r="D46" s="32"/>
      <c r="E46" s="28"/>
    </row>
    <row r="47" spans="3:5">
      <c r="C47" s="16" t="s">
        <v>446</v>
      </c>
      <c r="D47" s="32"/>
      <c r="E47" s="28"/>
    </row>
    <row r="48" spans="3:5">
      <c r="C48" s="16" t="s">
        <v>447</v>
      </c>
      <c r="D48" s="32"/>
      <c r="E48" s="28"/>
    </row>
    <row r="49"/>
    <row r="50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D45" sqref="D45"/>
    </sheetView>
  </sheetViews>
  <sheetFormatPr baseColWidth="10" defaultColWidth="0" defaultRowHeight="18" customHeight="1"/>
  <cols>
    <col min="1" max="1" width="2.81640625" customWidth="1"/>
    <col min="2" max="2" width="5.81640625" customWidth="1"/>
    <col min="3" max="3" width="51.453125" customWidth="1"/>
    <col min="4" max="4" width="33.1796875" customWidth="1"/>
    <col min="5" max="5" width="26.54296875" customWidth="1"/>
    <col min="6" max="39" width="8.81640625" style="9" hidden="1" customWidth="1"/>
    <col min="40" max="16384" width="8.81640625" hidden="1"/>
  </cols>
  <sheetData>
    <row r="1" spans="2:15" ht="75" customHeight="1"/>
    <row r="2" spans="2:15" ht="23.5">
      <c r="B2" s="6" t="s">
        <v>275</v>
      </c>
    </row>
    <row r="3" spans="2:15" ht="14.5"/>
    <row r="4" spans="2:15" ht="14.5"/>
    <row r="5" spans="2:15" ht="15" customHeight="1">
      <c r="B5" s="16"/>
      <c r="C5" s="40" t="s">
        <v>451</v>
      </c>
      <c r="D5" s="42" t="str">
        <f>Netzbetreiber!$D$9</f>
        <v>Stadtwerke St. Ingbert GmbH</v>
      </c>
      <c r="H5" s="49"/>
      <c r="I5" s="49"/>
      <c r="J5" s="49"/>
      <c r="K5" s="49"/>
    </row>
    <row r="6" spans="2:15" ht="15" customHeight="1">
      <c r="B6" s="16"/>
      <c r="C6" s="45" t="s">
        <v>450</v>
      </c>
      <c r="D6" s="42" t="str">
        <f>Netzbetreiber!D28</f>
        <v>St. Ingbert</v>
      </c>
      <c r="H6" s="49"/>
      <c r="I6" s="49"/>
      <c r="J6" s="49"/>
      <c r="K6" s="49"/>
    </row>
    <row r="7" spans="2:15" ht="15" customHeight="1">
      <c r="B7" s="16"/>
      <c r="C7" s="40" t="s">
        <v>494</v>
      </c>
      <c r="D7" s="44" t="str">
        <f>Netzbetreiber!$D$11</f>
        <v>9870050600006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44958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625</v>
      </c>
      <c r="D11" s="21" t="s">
        <v>626</v>
      </c>
      <c r="H11" s="229" t="s">
        <v>626</v>
      </c>
      <c r="I11" s="229" t="s">
        <v>627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663</v>
      </c>
      <c r="D13" s="29" t="s">
        <v>674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375</v>
      </c>
      <c r="D15" s="34" t="s">
        <v>266</v>
      </c>
      <c r="H15" s="227" t="s">
        <v>266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585</v>
      </c>
      <c r="I16" s="228" t="s">
        <v>495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496</v>
      </c>
      <c r="I17" s="228" t="s">
        <v>497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623</v>
      </c>
      <c r="D19" s="34" t="s">
        <v>619</v>
      </c>
      <c r="H19" s="225" t="s">
        <v>619</v>
      </c>
      <c r="I19" s="225" t="s">
        <v>620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621</v>
      </c>
      <c r="H20" s="225" t="s">
        <v>622</v>
      </c>
      <c r="I20" t="s">
        <v>618</v>
      </c>
      <c r="J20"/>
      <c r="K20"/>
      <c r="L20" s="226"/>
    </row>
    <row r="21" spans="2:16" ht="15" customHeight="1">
      <c r="B21" s="16"/>
      <c r="C21" s="2" t="s">
        <v>624</v>
      </c>
      <c r="D21" s="2" t="str">
        <f>IF(D19=$H$19,L21,IF(D20=$H$21,M21,N21))</f>
        <v>=&gt;  Q(D) = KW  x  h(T, SLP-Typ)  x  F(WT)</v>
      </c>
      <c r="H21" s="225" t="s">
        <v>621</v>
      </c>
      <c r="I21" s="225" t="s">
        <v>628</v>
      </c>
      <c r="J21"/>
      <c r="K21"/>
      <c r="L21" s="228" t="s">
        <v>629</v>
      </c>
      <c r="M21" s="228" t="s">
        <v>631</v>
      </c>
      <c r="N21" s="228" t="s">
        <v>630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588</v>
      </c>
      <c r="D23" s="29" t="s">
        <v>136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632</v>
      </c>
      <c r="D24" s="29" t="s">
        <v>633</v>
      </c>
      <c r="H24" s="257" t="s">
        <v>633</v>
      </c>
      <c r="I24" s="227" t="s">
        <v>634</v>
      </c>
      <c r="J24" s="227" t="s">
        <v>635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636</v>
      </c>
      <c r="I25" s="228" t="s">
        <v>637</v>
      </c>
      <c r="J25" s="228" t="s">
        <v>638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639</v>
      </c>
      <c r="I26" s="228" t="s">
        <v>640</v>
      </c>
      <c r="J26" s="228" t="s">
        <v>641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377</v>
      </c>
      <c r="C28" s="4" t="s">
        <v>587</v>
      </c>
      <c r="D28" s="29" t="s">
        <v>136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642</v>
      </c>
      <c r="I29" s="228" t="s">
        <v>643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644</v>
      </c>
      <c r="I30" s="225" t="s">
        <v>639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500</v>
      </c>
      <c r="C32" s="2" t="s">
        <v>503</v>
      </c>
      <c r="D32" s="222">
        <v>14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559</v>
      </c>
      <c r="C34" s="3" t="s">
        <v>372</v>
      </c>
      <c r="D34" s="22">
        <v>1500000</v>
      </c>
      <c r="E34" t="s">
        <v>516</v>
      </c>
      <c r="I34" s="225"/>
      <c r="J34" s="225"/>
      <c r="K34" s="225"/>
      <c r="L34" s="225"/>
      <c r="M34" s="226"/>
    </row>
    <row r="35" spans="2:22" ht="15" customHeight="1">
      <c r="C35" t="s">
        <v>498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560</v>
      </c>
      <c r="C37" s="3" t="s">
        <v>373</v>
      </c>
      <c r="D37" s="24">
        <v>500</v>
      </c>
      <c r="E37" t="s">
        <v>551</v>
      </c>
      <c r="H37" s="49"/>
      <c r="I37" s="49"/>
      <c r="J37" s="49"/>
      <c r="K37" s="49"/>
    </row>
    <row r="38" spans="2:22" ht="15" customHeight="1">
      <c r="C38" t="s">
        <v>499</v>
      </c>
    </row>
    <row r="39" spans="2:22" ht="15" customHeight="1">
      <c r="B39" s="5"/>
      <c r="C39" s="2"/>
    </row>
    <row r="40" spans="2:22" ht="15" customHeight="1">
      <c r="B40" s="5"/>
      <c r="C40" s="2" t="s">
        <v>550</v>
      </c>
    </row>
    <row r="41" spans="2:22" ht="18" customHeight="1">
      <c r="C41" s="2" t="s">
        <v>552</v>
      </c>
    </row>
    <row r="42" spans="2:22" ht="18" customHeight="1">
      <c r="C42" s="2"/>
    </row>
    <row r="43" spans="2:22" ht="15" customHeight="1">
      <c r="B43" s="16" t="s">
        <v>561</v>
      </c>
      <c r="C43" s="40" t="s">
        <v>586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596</v>
      </c>
      <c r="D45" s="32" t="s">
        <v>675</v>
      </c>
    </row>
    <row r="46" spans="2:22" ht="18" customHeight="1">
      <c r="C46" s="16" t="s">
        <v>597</v>
      </c>
      <c r="D46" s="32"/>
    </row>
    <row r="47" spans="2:22" ht="18" customHeight="1">
      <c r="C47" s="16" t="s">
        <v>598</v>
      </c>
      <c r="D47" s="32"/>
    </row>
    <row r="48" spans="2:22" ht="18" customHeight="1">
      <c r="C48" s="16" t="s">
        <v>599</v>
      </c>
      <c r="D48" s="32"/>
    </row>
    <row r="49" spans="3:4" ht="18" customHeight="1">
      <c r="C49" s="16" t="s">
        <v>600</v>
      </c>
      <c r="D49" s="32"/>
    </row>
    <row r="50" spans="3:4" ht="18" customHeight="1">
      <c r="C50" s="16" t="s">
        <v>601</v>
      </c>
      <c r="D50" s="32"/>
    </row>
    <row r="51" spans="3:4" ht="18" customHeight="1">
      <c r="C51" s="16" t="s">
        <v>602</v>
      </c>
      <c r="D51" s="32"/>
    </row>
    <row r="52" spans="3:4" ht="18" customHeight="1">
      <c r="C52" s="16" t="s">
        <v>603</v>
      </c>
      <c r="D52" s="32"/>
    </row>
    <row r="53" spans="3:4" ht="18" customHeight="1">
      <c r="C53" s="16" t="s">
        <v>604</v>
      </c>
      <c r="D53" s="32"/>
    </row>
    <row r="54" spans="3:4" ht="18" customHeight="1">
      <c r="C54" s="16" t="s">
        <v>605</v>
      </c>
      <c r="D54" s="32"/>
    </row>
    <row r="55" spans="3:4" ht="18" customHeight="1">
      <c r="C55" s="16" t="s">
        <v>606</v>
      </c>
      <c r="D55" s="32"/>
    </row>
    <row r="56" spans="3:4" ht="18" customHeight="1">
      <c r="C56" s="16" t="s">
        <v>607</v>
      </c>
      <c r="D56" s="32"/>
    </row>
    <row r="57" spans="3:4" ht="18" customHeight="1">
      <c r="C57" s="16" t="s">
        <v>608</v>
      </c>
      <c r="D57" s="32"/>
    </row>
    <row r="58" spans="3:4" ht="18" customHeight="1">
      <c r="C58" s="16" t="s">
        <v>609</v>
      </c>
      <c r="D58" s="32"/>
    </row>
    <row r="59" spans="3:4" ht="18" customHeight="1">
      <c r="C59" s="16" t="s">
        <v>610</v>
      </c>
      <c r="D59" s="32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26" sqref="E26"/>
    </sheetView>
  </sheetViews>
  <sheetFormatPr baseColWidth="10" defaultColWidth="0" defaultRowHeight="14.5" zeroHeight="1"/>
  <cols>
    <col min="1" max="1" width="2.81640625" customWidth="1"/>
    <col min="2" max="2" width="5.453125" customWidth="1"/>
    <col min="3" max="3" width="37.54296875" customWidth="1"/>
    <col min="4" max="4" width="12.54296875" customWidth="1"/>
    <col min="5" max="5" width="22" customWidth="1"/>
    <col min="6" max="14" width="12.7265625" customWidth="1"/>
    <col min="15" max="15" width="34.1796875" customWidth="1"/>
    <col min="16" max="16" width="7.26953125" style="9" hidden="1" customWidth="1"/>
    <col min="17" max="18" width="7.26953125" style="49" hidden="1" customWidth="1"/>
    <col min="19" max="19" width="13.453125" style="49" hidden="1" customWidth="1"/>
    <col min="20" max="20" width="23.54296875" style="49" hidden="1" customWidth="1"/>
    <col min="21" max="21" width="5.453125" style="49" hidden="1" customWidth="1"/>
    <col min="22" max="22" width="5" style="49" hidden="1" customWidth="1"/>
    <col min="23" max="23" width="5.26953125" style="49" hidden="1" customWidth="1"/>
    <col min="24" max="24" width="5" style="49" hidden="1" customWidth="1"/>
    <col min="25" max="25" width="8.1796875" style="49" hidden="1" customWidth="1"/>
    <col min="26" max="26" width="11.7265625" style="49" hidden="1" customWidth="1"/>
    <col min="27" max="27" width="8.8164062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53125" style="41" hidden="1" customWidth="1"/>
    <col min="38" max="38" width="4" style="41" hidden="1" customWidth="1"/>
    <col min="39" max="47" width="4.453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5">
      <c r="B2" s="6" t="s">
        <v>554</v>
      </c>
    </row>
    <row r="3" spans="1:56" ht="15" customHeight="1">
      <c r="B3" s="6"/>
    </row>
    <row r="4" spans="1:56">
      <c r="C4" s="40" t="s">
        <v>451</v>
      </c>
      <c r="D4" s="41"/>
      <c r="E4" s="42" t="s">
        <v>667</v>
      </c>
    </row>
    <row r="5" spans="1:56">
      <c r="C5" s="40" t="s">
        <v>450</v>
      </c>
      <c r="D5" s="41"/>
      <c r="E5" s="42" t="str">
        <f>Netzbetreiber!D28</f>
        <v>St. Ingbert</v>
      </c>
    </row>
    <row r="6" spans="1:56">
      <c r="C6" s="40" t="s">
        <v>494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505</v>
      </c>
    </row>
    <row r="9" spans="1:56">
      <c r="C9" s="40" t="s">
        <v>532</v>
      </c>
      <c r="F9" s="129">
        <f>'SLP-Verfahren'!D43</f>
        <v>1</v>
      </c>
      <c r="H9" s="143" t="s">
        <v>611</v>
      </c>
    </row>
    <row r="10" spans="1:56">
      <c r="C10" s="40" t="s">
        <v>595</v>
      </c>
      <c r="F10" s="249">
        <v>1</v>
      </c>
      <c r="G10" s="41"/>
      <c r="H10" s="143" t="s">
        <v>612</v>
      </c>
    </row>
    <row r="11" spans="1:56">
      <c r="C11" s="40" t="s">
        <v>613</v>
      </c>
      <c r="F11" s="247" t="str">
        <f>INDEX('SLP-Verfahren'!D45:D59,'SLP-Temp-Gebiet #01'!F10)</f>
        <v>Saarbrücken-Ensheim</v>
      </c>
      <c r="G11" s="250"/>
      <c r="H11" s="68"/>
    </row>
    <row r="12" spans="1:56"/>
    <row r="13" spans="1:56" ht="18" customHeight="1">
      <c r="C13" s="287" t="s">
        <v>594</v>
      </c>
      <c r="D13" s="287"/>
      <c r="E13" s="287"/>
      <c r="F13" s="16" t="s">
        <v>558</v>
      </c>
      <c r="G13" t="s">
        <v>556</v>
      </c>
      <c r="H13" s="219" t="s">
        <v>573</v>
      </c>
      <c r="I13" s="41"/>
    </row>
    <row r="14" spans="1:56" ht="19.5" customHeight="1">
      <c r="C14" s="288" t="s">
        <v>454</v>
      </c>
      <c r="D14" s="288"/>
      <c r="E14" s="5" t="s">
        <v>455</v>
      </c>
      <c r="F14" s="220" t="s">
        <v>568</v>
      </c>
      <c r="G14" s="221" t="s">
        <v>581</v>
      </c>
      <c r="H14" s="36">
        <v>-1.54</v>
      </c>
      <c r="I14" s="41"/>
      <c r="O14" s="144" t="s">
        <v>537</v>
      </c>
      <c r="R14" s="49" t="s">
        <v>574</v>
      </c>
      <c r="S14" s="49" t="s">
        <v>575</v>
      </c>
      <c r="T14" s="49" t="s">
        <v>576</v>
      </c>
      <c r="U14" s="49" t="s">
        <v>577</v>
      </c>
      <c r="V14" s="49" t="s">
        <v>557</v>
      </c>
      <c r="W14" s="49" t="s">
        <v>578</v>
      </c>
      <c r="X14" s="49" t="s">
        <v>579</v>
      </c>
      <c r="Y14" s="49" t="s">
        <v>580</v>
      </c>
      <c r="Z14" s="49" t="s">
        <v>581</v>
      </c>
      <c r="AA14" s="49" t="s">
        <v>582</v>
      </c>
      <c r="AB14" s="49" t="s">
        <v>583</v>
      </c>
      <c r="AC14" s="49" t="s">
        <v>584</v>
      </c>
    </row>
    <row r="15" spans="1:56" ht="19.5" customHeight="1">
      <c r="C15" s="288" t="s">
        <v>394</v>
      </c>
      <c r="D15" s="288"/>
      <c r="E15" s="5" t="s">
        <v>455</v>
      </c>
      <c r="F15" s="220" t="s">
        <v>676</v>
      </c>
      <c r="G15" s="221" t="s">
        <v>577</v>
      </c>
      <c r="H15" s="36">
        <v>0.6</v>
      </c>
      <c r="I15" s="41"/>
      <c r="O15" s="135"/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377</v>
      </c>
      <c r="AH15" s="218" t="s">
        <v>500</v>
      </c>
      <c r="AI15" s="218" t="s">
        <v>559</v>
      </c>
      <c r="AJ15" s="218" t="s">
        <v>560</v>
      </c>
      <c r="AK15" s="218" t="s">
        <v>561</v>
      </c>
      <c r="AL15" s="218" t="s">
        <v>562</v>
      </c>
      <c r="AM15" s="218" t="s">
        <v>563</v>
      </c>
      <c r="AN15" s="218" t="s">
        <v>564</v>
      </c>
      <c r="AO15" s="218" t="s">
        <v>565</v>
      </c>
      <c r="AP15" s="218" t="s">
        <v>566</v>
      </c>
      <c r="AQ15" s="218" t="s">
        <v>567</v>
      </c>
      <c r="AR15" s="218" t="s">
        <v>568</v>
      </c>
      <c r="AS15" s="218" t="s">
        <v>569</v>
      </c>
      <c r="AT15" s="218" t="s">
        <v>570</v>
      </c>
      <c r="AU15" s="218" t="s">
        <v>571</v>
      </c>
      <c r="AV15" s="218" t="s">
        <v>572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1" ht="19.5" customHeight="1">
      <c r="B17" s="146" t="s">
        <v>527</v>
      </c>
      <c r="D17" s="145"/>
      <c r="R17" s="171"/>
      <c r="S17" s="171"/>
    </row>
    <row r="18" spans="2:21">
      <c r="C18" s="40" t="s">
        <v>533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528</v>
      </c>
      <c r="D20" s="148" t="s">
        <v>524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535</v>
      </c>
      <c r="D21" s="128" t="s">
        <v>526</v>
      </c>
      <c r="E21" s="242">
        <f>1-SUMPRODUCT(F19:N19,F21:N21)</f>
        <v>1</v>
      </c>
      <c r="F21" s="242">
        <f>ROUND(F22/$D$22,4)</f>
        <v>1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547</v>
      </c>
      <c r="D22" s="153">
        <f>SUMPRODUCT(E22:N22,E19:N19)</f>
        <v>1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1" t="s">
        <v>512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512</v>
      </c>
      <c r="T23" s="248">
        <f>O15</f>
        <v>0</v>
      </c>
    </row>
    <row r="24" spans="2:21">
      <c r="B24" s="16"/>
      <c r="C24" s="151" t="s">
        <v>530</v>
      </c>
      <c r="D24" s="154"/>
      <c r="E24" s="131" t="s">
        <v>675</v>
      </c>
      <c r="F24" s="131" t="s">
        <v>592</v>
      </c>
      <c r="G24" s="131"/>
      <c r="H24" s="131"/>
      <c r="I24" s="131"/>
      <c r="J24" s="131"/>
      <c r="K24" s="131"/>
      <c r="L24" s="131"/>
      <c r="M24" s="131"/>
      <c r="N24" s="131"/>
      <c r="O24" s="152" t="s">
        <v>531</v>
      </c>
      <c r="Q24" s="172"/>
    </row>
    <row r="25" spans="2:21">
      <c r="B25" s="16"/>
      <c r="C25" s="151" t="s">
        <v>525</v>
      </c>
      <c r="D25" s="154"/>
      <c r="E25" s="131">
        <v>10708</v>
      </c>
      <c r="F25" s="131" t="s">
        <v>370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665</v>
      </c>
      <c r="F26" s="131" t="s">
        <v>665</v>
      </c>
      <c r="G26" s="131" t="s">
        <v>513</v>
      </c>
      <c r="H26" s="131" t="s">
        <v>513</v>
      </c>
      <c r="I26" s="131" t="s">
        <v>513</v>
      </c>
      <c r="J26" s="131" t="s">
        <v>513</v>
      </c>
      <c r="K26" s="131" t="s">
        <v>513</v>
      </c>
      <c r="L26" s="131" t="s">
        <v>513</v>
      </c>
      <c r="M26" s="131" t="s">
        <v>513</v>
      </c>
      <c r="N26" s="131" t="s">
        <v>513</v>
      </c>
      <c r="O26" s="152" t="s">
        <v>142</v>
      </c>
      <c r="Q26" s="172"/>
      <c r="R26" s="49" t="s">
        <v>513</v>
      </c>
      <c r="S26" s="49" t="s">
        <v>665</v>
      </c>
      <c r="T26" s="49" t="s">
        <v>666</v>
      </c>
      <c r="U26" s="49" t="s">
        <v>514</v>
      </c>
    </row>
    <row r="27" spans="2:21">
      <c r="B27" s="16"/>
      <c r="C27" s="151" t="s">
        <v>664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>987005060000610708B</v>
      </c>
      <c r="F27" s="154"/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513</v>
      </c>
      <c r="S27" s="49" t="s">
        <v>514</v>
      </c>
    </row>
    <row r="28" spans="2:21">
      <c r="B28" s="16"/>
      <c r="C28" s="155"/>
      <c r="Q28" s="172"/>
    </row>
    <row r="29" spans="2:21">
      <c r="C29" s="40" t="s">
        <v>529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265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536</v>
      </c>
      <c r="D32" s="153" t="s">
        <v>264</v>
      </c>
      <c r="E32" s="240">
        <f>1-SUMPRODUCT(F30:N30,F32:N32)</f>
        <v>0.5333</v>
      </c>
      <c r="F32" s="240">
        <f>ROUND(F33/$D$33,4)</f>
        <v>0.26669999999999999</v>
      </c>
      <c r="G32" s="240">
        <f t="shared" ref="G32:N32" si="3">ROUND(G33/$D$33,4)</f>
        <v>0.1333</v>
      </c>
      <c r="H32" s="240">
        <f t="shared" si="3"/>
        <v>6.6699999999999995E-2</v>
      </c>
      <c r="I32" s="240">
        <f t="shared" si="3"/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543</v>
      </c>
      <c r="D33" s="242">
        <f>SUMPRODUCT(E33:N33,E30:N30)</f>
        <v>1.875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368</v>
      </c>
      <c r="D34" s="128" t="s">
        <v>367</v>
      </c>
      <c r="E34" s="131" t="s">
        <v>3</v>
      </c>
      <c r="F34" s="131" t="s">
        <v>366</v>
      </c>
      <c r="G34" s="131" t="s">
        <v>357</v>
      </c>
      <c r="H34" s="131" t="s">
        <v>358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366</v>
      </c>
      <c r="T34" s="49" t="s">
        <v>357</v>
      </c>
      <c r="U34" s="49" t="s">
        <v>358</v>
      </c>
      <c r="V34" s="49" t="s">
        <v>359</v>
      </c>
      <c r="W34" s="49" t="s">
        <v>360</v>
      </c>
      <c r="X34" s="49" t="s">
        <v>361</v>
      </c>
      <c r="Y34" s="49" t="s">
        <v>362</v>
      </c>
      <c r="Z34" s="49" t="s">
        <v>363</v>
      </c>
      <c r="AA34" s="49" t="s">
        <v>364</v>
      </c>
      <c r="AB34" s="49" t="s">
        <v>365</v>
      </c>
    </row>
    <row r="35" spans="2:28">
      <c r="B35" s="16"/>
      <c r="C35" s="151" t="s">
        <v>457</v>
      </c>
      <c r="D35" s="128" t="s">
        <v>456</v>
      </c>
      <c r="E35" s="131" t="s">
        <v>522</v>
      </c>
      <c r="F35" s="131" t="s">
        <v>522</v>
      </c>
      <c r="G35" s="131" t="s">
        <v>522</v>
      </c>
      <c r="H35" s="131" t="s">
        <v>522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522</v>
      </c>
      <c r="S35" s="49" t="s">
        <v>523</v>
      </c>
    </row>
    <row r="36" spans="2:28">
      <c r="B36" s="16"/>
      <c r="C36" s="151" t="s">
        <v>615</v>
      </c>
      <c r="D36" s="128" t="s">
        <v>616</v>
      </c>
      <c r="E36" s="131" t="s">
        <v>614</v>
      </c>
      <c r="F36" s="131" t="s">
        <v>614</v>
      </c>
      <c r="G36" s="131" t="s">
        <v>614</v>
      </c>
      <c r="H36" s="131" t="s">
        <v>614</v>
      </c>
      <c r="I36" s="131" t="s">
        <v>614</v>
      </c>
      <c r="J36" s="131" t="s">
        <v>614</v>
      </c>
      <c r="K36" s="131" t="s">
        <v>614</v>
      </c>
      <c r="L36" s="131" t="s">
        <v>614</v>
      </c>
      <c r="M36" s="131" t="s">
        <v>614</v>
      </c>
      <c r="N36" s="131" t="s">
        <v>614</v>
      </c>
      <c r="O36" s="152" t="s">
        <v>142</v>
      </c>
      <c r="Q36" s="172"/>
      <c r="R36" s="49" t="s">
        <v>614</v>
      </c>
      <c r="S36" s="49" t="s">
        <v>617</v>
      </c>
      <c r="T36" s="41"/>
    </row>
    <row r="37" spans="2:28">
      <c r="B37" s="16"/>
      <c r="C37" s="154" t="s">
        <v>449</v>
      </c>
      <c r="D37" s="98" t="s">
        <v>548</v>
      </c>
      <c r="E37" s="136" t="s">
        <v>458</v>
      </c>
      <c r="F37" s="136" t="s">
        <v>458</v>
      </c>
      <c r="G37" s="136" t="s">
        <v>459</v>
      </c>
      <c r="H37" s="136" t="s">
        <v>459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459</v>
      </c>
      <c r="S37" s="49" t="s">
        <v>458</v>
      </c>
    </row>
    <row r="38" spans="2:28" ht="15" thickBot="1"/>
    <row r="39" spans="2:28">
      <c r="C39" s="157" t="s">
        <v>276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6.5">
      <c r="C40" s="160" t="s">
        <v>356</v>
      </c>
      <c r="D40" s="161"/>
      <c r="E40" s="161" t="s">
        <v>541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542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534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539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540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545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546</v>
      </c>
      <c r="D47" s="164" t="s">
        <v>544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369</v>
      </c>
      <c r="K47" s="161"/>
      <c r="L47" s="161"/>
      <c r="M47" s="161"/>
      <c r="N47" s="161"/>
      <c r="O47" s="162"/>
    </row>
    <row r="48" spans="2:28">
      <c r="C48" s="163" t="s">
        <v>355</v>
      </c>
      <c r="D48" s="164" t="s">
        <v>544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369</v>
      </c>
      <c r="K48" s="161"/>
      <c r="L48" s="161"/>
      <c r="M48" s="161"/>
      <c r="N48" s="161"/>
      <c r="O48" s="162"/>
    </row>
    <row r="49" spans="2:15" ht="1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5">
      <c r="B51" s="146" t="s">
        <v>589</v>
      </c>
    </row>
    <row r="52" spans="2:15">
      <c r="I52" s="1"/>
    </row>
    <row r="53" spans="2:15">
      <c r="C53" s="40" t="s">
        <v>553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528</v>
      </c>
      <c r="D55" s="148" t="s">
        <v>524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535</v>
      </c>
      <c r="D56" s="128" t="s">
        <v>526</v>
      </c>
      <c r="E56" s="240">
        <f>1-SUMPRODUCT(F54:N54,F56:N56)</f>
        <v>1</v>
      </c>
      <c r="F56" s="240">
        <f>ROUND(F57/$D$57,4)</f>
        <v>1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547</v>
      </c>
      <c r="D57" s="153">
        <f>SUMPRODUCT(E57:N57,E54:N54)</f>
        <v>1</v>
      </c>
      <c r="E57" s="241">
        <f>E22</f>
        <v>1</v>
      </c>
      <c r="F57" s="241">
        <f t="shared" ref="F57:N57" si="6">F22</f>
        <v>1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tr">
        <f>E23</f>
        <v>MeteoGroup</v>
      </c>
      <c r="F58" s="131" t="str">
        <f t="shared" ref="F58:N58" si="7">F23</f>
        <v>DWD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530</v>
      </c>
      <c r="D59" s="154"/>
      <c r="E59" s="131" t="str">
        <f>E24</f>
        <v>Saarbrücken-Ensheim</v>
      </c>
      <c r="F59" s="131" t="str">
        <f t="shared" ref="F59:N59" si="8">F24</f>
        <v>DEF-St.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531</v>
      </c>
    </row>
    <row r="60" spans="2:15">
      <c r="B60" s="16"/>
      <c r="C60" s="151" t="s">
        <v>525</v>
      </c>
      <c r="D60" s="154"/>
      <c r="E60" s="131">
        <f>E25</f>
        <v>10708</v>
      </c>
      <c r="F60" s="131" t="str">
        <f t="shared" ref="F60:N60" si="9">F25</f>
        <v>xxxxx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tr">
        <f>E26</f>
        <v>Individuelle GPT</v>
      </c>
      <c r="F61" s="133" t="str">
        <f t="shared" ref="F61:N61" si="10">F26</f>
        <v>Individuelle GPT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529</v>
      </c>
      <c r="F63" s="132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265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536</v>
      </c>
      <c r="D66" s="153" t="s">
        <v>264</v>
      </c>
      <c r="E66" s="240">
        <f>1-SUMPRODUCT(F64:N64,F66:N66)</f>
        <v>0.5333</v>
      </c>
      <c r="F66" s="240">
        <f>ROUND(F67/$D$67,4)</f>
        <v>0.26669999999999999</v>
      </c>
      <c r="G66" s="240">
        <f t="shared" ref="G66:N66" si="12">ROUND(G67/$D$67,4)</f>
        <v>0.1333</v>
      </c>
      <c r="H66" s="240">
        <f t="shared" si="12"/>
        <v>6.6699999999999995E-2</v>
      </c>
      <c r="I66" s="240">
        <f t="shared" si="12"/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543</v>
      </c>
      <c r="D67" s="153">
        <f>SUMPRODUCT(E67:N67,E64:N64)</f>
        <v>1.875</v>
      </c>
      <c r="E67" s="246">
        <f>E33</f>
        <v>1</v>
      </c>
      <c r="F67" s="246">
        <f t="shared" ref="F67:N67" si="13">F33</f>
        <v>0.5</v>
      </c>
      <c r="G67" s="246">
        <f t="shared" si="13"/>
        <v>0.25</v>
      </c>
      <c r="H67" s="246">
        <f t="shared" si="13"/>
        <v>0.125</v>
      </c>
      <c r="I67" s="246">
        <f t="shared" si="13"/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368</v>
      </c>
      <c r="D68" s="128" t="s">
        <v>367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457</v>
      </c>
      <c r="D69" s="128" t="s">
        <v>456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615</v>
      </c>
      <c r="D70" s="128" t="s">
        <v>616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449</v>
      </c>
      <c r="D71" s="98" t="s">
        <v>548</v>
      </c>
      <c r="E71" s="137" t="s">
        <v>459</v>
      </c>
      <c r="F71" s="137" t="s">
        <v>459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89" t="s">
        <v>590</v>
      </c>
      <c r="D73" s="289"/>
      <c r="E73" s="289"/>
      <c r="F73" s="28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1640625" customWidth="1"/>
    <col min="2" max="2" width="5.453125" customWidth="1"/>
    <col min="3" max="3" width="37.54296875" customWidth="1"/>
    <col min="4" max="4" width="12.54296875" customWidth="1"/>
    <col min="5" max="14" width="12.7265625" customWidth="1"/>
    <col min="15" max="15" width="34.1796875" customWidth="1"/>
    <col min="16" max="16" width="7.26953125" style="9" customWidth="1"/>
    <col min="17" max="18" width="7.26953125" style="49" hidden="1" customWidth="1"/>
    <col min="19" max="19" width="13.453125" style="49" hidden="1" customWidth="1"/>
    <col min="20" max="20" width="23.54296875" style="49" hidden="1" customWidth="1"/>
    <col min="21" max="21" width="5.453125" style="49" hidden="1" customWidth="1"/>
    <col min="22" max="22" width="5" style="49" hidden="1" customWidth="1"/>
    <col min="23" max="23" width="5.26953125" style="49" hidden="1" customWidth="1"/>
    <col min="24" max="24" width="5" style="49" hidden="1" customWidth="1"/>
    <col min="25" max="25" width="8.1796875" style="49" hidden="1" customWidth="1"/>
    <col min="26" max="26" width="11.7265625" style="49" hidden="1" customWidth="1"/>
    <col min="27" max="27" width="8.8164062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53125" style="41" hidden="1" customWidth="1"/>
    <col min="38" max="38" width="4" style="41" hidden="1" customWidth="1"/>
    <col min="39" max="47" width="4.453125" style="41" hidden="1" customWidth="1"/>
    <col min="48" max="48" width="4" style="41" hidden="1" customWidth="1"/>
    <col min="49" max="16383" width="22.54296875" style="41" hidden="1"/>
    <col min="16384" max="16384" width="1" style="41" hidden="1" customWidth="1"/>
  </cols>
  <sheetData>
    <row r="1" spans="1:56" ht="75" customHeight="1"/>
    <row r="2" spans="1:56" ht="23.5">
      <c r="B2" s="6" t="s">
        <v>554</v>
      </c>
    </row>
    <row r="3" spans="1:56" ht="15" customHeight="1">
      <c r="B3" s="6"/>
    </row>
    <row r="4" spans="1:56" ht="14.5">
      <c r="C4" s="40" t="s">
        <v>451</v>
      </c>
      <c r="D4" s="41"/>
      <c r="E4" s="42" t="s">
        <v>493</v>
      </c>
    </row>
    <row r="5" spans="1:56" ht="14.5">
      <c r="C5" s="40" t="s">
        <v>450</v>
      </c>
      <c r="D5" s="41"/>
      <c r="E5" s="42" t="str">
        <f>Netzbetreiber!D28</f>
        <v>St. Ingbert</v>
      </c>
    </row>
    <row r="6" spans="1:56" ht="14.5">
      <c r="C6" s="40" t="s">
        <v>494</v>
      </c>
      <c r="D6" s="41"/>
      <c r="E6" s="44">
        <v>123456789</v>
      </c>
    </row>
    <row r="7" spans="1:56" ht="14.5">
      <c r="C7" s="40" t="s">
        <v>133</v>
      </c>
      <c r="D7" s="41"/>
      <c r="E7" s="35">
        <v>42278</v>
      </c>
    </row>
    <row r="8" spans="1:56" ht="14.5">
      <c r="H8" s="68" t="s">
        <v>505</v>
      </c>
    </row>
    <row r="9" spans="1:56" ht="14.5">
      <c r="C9" s="40" t="s">
        <v>532</v>
      </c>
      <c r="F9" s="129">
        <f>'SLP-Verfahren'!D43</f>
        <v>1</v>
      </c>
      <c r="H9" s="143" t="s">
        <v>611</v>
      </c>
    </row>
    <row r="10" spans="1:56" ht="14.5">
      <c r="C10" s="40" t="s">
        <v>595</v>
      </c>
      <c r="F10" s="249">
        <v>2</v>
      </c>
      <c r="G10" s="41"/>
      <c r="H10" s="143" t="s">
        <v>612</v>
      </c>
    </row>
    <row r="11" spans="1:56" ht="14.5">
      <c r="C11" s="40" t="s">
        <v>613</v>
      </c>
      <c r="F11" s="247">
        <f>INDEX('SLP-Verfahren'!D45:D59,'SLP-Temp-Gebiet #02'!F10)</f>
        <v>0</v>
      </c>
      <c r="G11" s="250"/>
      <c r="H11" s="68"/>
    </row>
    <row r="12" spans="1:56" ht="14.5"/>
    <row r="13" spans="1:56" ht="18" customHeight="1">
      <c r="C13" s="287" t="s">
        <v>594</v>
      </c>
      <c r="D13" s="287"/>
      <c r="E13" s="287"/>
      <c r="F13" s="16" t="s">
        <v>558</v>
      </c>
      <c r="G13" t="s">
        <v>556</v>
      </c>
      <c r="H13" s="219" t="s">
        <v>573</v>
      </c>
      <c r="I13" s="41"/>
    </row>
    <row r="14" spans="1:56" ht="19.5" customHeight="1">
      <c r="C14" s="288" t="s">
        <v>454</v>
      </c>
      <c r="D14" s="288"/>
      <c r="E14" s="5" t="s">
        <v>455</v>
      </c>
      <c r="F14" s="220" t="s">
        <v>85</v>
      </c>
      <c r="G14" s="221" t="s">
        <v>582</v>
      </c>
      <c r="H14" s="36">
        <v>0</v>
      </c>
      <c r="I14" s="41"/>
      <c r="O14" s="144" t="s">
        <v>537</v>
      </c>
      <c r="R14" s="49" t="s">
        <v>574</v>
      </c>
      <c r="S14" s="49" t="s">
        <v>575</v>
      </c>
      <c r="T14" s="49" t="s">
        <v>576</v>
      </c>
      <c r="U14" s="49" t="s">
        <v>577</v>
      </c>
      <c r="V14" s="49" t="s">
        <v>557</v>
      </c>
      <c r="W14" s="49" t="s">
        <v>578</v>
      </c>
      <c r="X14" s="49" t="s">
        <v>579</v>
      </c>
      <c r="Y14" s="49" t="s">
        <v>580</v>
      </c>
      <c r="Z14" s="49" t="s">
        <v>581</v>
      </c>
      <c r="AA14" s="49" t="s">
        <v>582</v>
      </c>
      <c r="AB14" s="49" t="s">
        <v>583</v>
      </c>
      <c r="AC14" s="49" t="s">
        <v>584</v>
      </c>
    </row>
    <row r="15" spans="1:56" ht="19.5" customHeight="1">
      <c r="C15" s="288" t="s">
        <v>394</v>
      </c>
      <c r="D15" s="288"/>
      <c r="E15" s="5" t="s">
        <v>455</v>
      </c>
      <c r="F15" s="220" t="s">
        <v>71</v>
      </c>
      <c r="G15" s="221" t="s">
        <v>576</v>
      </c>
      <c r="H15" s="36">
        <v>0</v>
      </c>
      <c r="I15" s="41"/>
      <c r="O15" s="135" t="s">
        <v>538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377</v>
      </c>
      <c r="AH15" s="218" t="s">
        <v>500</v>
      </c>
      <c r="AI15" s="218" t="s">
        <v>559</v>
      </c>
      <c r="AJ15" s="218" t="s">
        <v>560</v>
      </c>
      <c r="AK15" s="218" t="s">
        <v>561</v>
      </c>
      <c r="AL15" s="218" t="s">
        <v>562</v>
      </c>
      <c r="AM15" s="218" t="s">
        <v>563</v>
      </c>
      <c r="AN15" s="218" t="s">
        <v>564</v>
      </c>
      <c r="AO15" s="218" t="s">
        <v>565</v>
      </c>
      <c r="AP15" s="218" t="s">
        <v>566</v>
      </c>
      <c r="AQ15" s="218" t="s">
        <v>567</v>
      </c>
      <c r="AR15" s="218" t="s">
        <v>568</v>
      </c>
      <c r="AS15" s="218" t="s">
        <v>569</v>
      </c>
      <c r="AT15" s="218" t="s">
        <v>570</v>
      </c>
      <c r="AU15" s="218" t="s">
        <v>571</v>
      </c>
      <c r="AV15" s="218" t="s">
        <v>572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527</v>
      </c>
      <c r="D17" s="145"/>
      <c r="R17" s="171"/>
      <c r="S17" s="171"/>
    </row>
    <row r="18" spans="2:20" ht="14.5">
      <c r="C18" s="40" t="s">
        <v>533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528</v>
      </c>
      <c r="D20" s="148" t="s">
        <v>524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 ht="14.5">
      <c r="B21" s="16"/>
      <c r="C21" s="151" t="s">
        <v>535</v>
      </c>
      <c r="D21" s="128" t="s">
        <v>526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 ht="14.5">
      <c r="B22" s="16"/>
      <c r="C22" s="151" t="s">
        <v>547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 ht="14.5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512</v>
      </c>
      <c r="T23" s="248" t="str">
        <f>O15</f>
        <v>Wetterdienstleister ABC</v>
      </c>
    </row>
    <row r="24" spans="2:20" ht="14.5">
      <c r="B24" s="16"/>
      <c r="C24" s="151" t="s">
        <v>530</v>
      </c>
      <c r="D24" s="154"/>
      <c r="E24" s="131" t="s">
        <v>591</v>
      </c>
      <c r="F24" s="131" t="s">
        <v>592</v>
      </c>
      <c r="G24" s="131"/>
      <c r="H24" s="131"/>
      <c r="I24" s="131"/>
      <c r="J24" s="131"/>
      <c r="K24" s="131"/>
      <c r="L24" s="131"/>
      <c r="M24" s="131"/>
      <c r="N24" s="131"/>
      <c r="O24" s="152" t="s">
        <v>531</v>
      </c>
      <c r="Q24" s="172"/>
    </row>
    <row r="25" spans="2:20" ht="14.5">
      <c r="B25" s="16"/>
      <c r="C25" s="151" t="s">
        <v>525</v>
      </c>
      <c r="D25" s="154"/>
      <c r="E25" s="131" t="s">
        <v>370</v>
      </c>
      <c r="F25" s="131" t="s">
        <v>370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 ht="14.5">
      <c r="B26" s="16"/>
      <c r="C26" s="151" t="s">
        <v>141</v>
      </c>
      <c r="D26" s="154"/>
      <c r="E26" s="131" t="s">
        <v>513</v>
      </c>
      <c r="F26" s="131" t="s">
        <v>513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513</v>
      </c>
      <c r="S26" s="49" t="s">
        <v>514</v>
      </c>
    </row>
    <row r="27" spans="2:20" ht="14.5">
      <c r="B27" s="16"/>
      <c r="C27" s="155"/>
      <c r="Q27" s="172"/>
    </row>
    <row r="28" spans="2:20" ht="14.5">
      <c r="C28" s="40" t="s">
        <v>529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 ht="14.5">
      <c r="B30" s="16"/>
      <c r="C30" s="147" t="s">
        <v>140</v>
      </c>
      <c r="D30" s="148" t="s">
        <v>265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 ht="14.5">
      <c r="B31" s="16"/>
      <c r="C31" s="151" t="s">
        <v>536</v>
      </c>
      <c r="D31" s="153" t="s">
        <v>264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 ht="14.5">
      <c r="B32" s="16"/>
      <c r="C32" s="151" t="s">
        <v>543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 ht="14.5">
      <c r="B33" s="16"/>
      <c r="C33" s="151" t="s">
        <v>368</v>
      </c>
      <c r="D33" s="128" t="s">
        <v>367</v>
      </c>
      <c r="E33" s="131" t="s">
        <v>3</v>
      </c>
      <c r="F33" s="131" t="s">
        <v>366</v>
      </c>
      <c r="G33" s="131" t="s">
        <v>357</v>
      </c>
      <c r="H33" s="131" t="s">
        <v>358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366</v>
      </c>
      <c r="T33" s="49" t="s">
        <v>357</v>
      </c>
      <c r="U33" s="49" t="s">
        <v>358</v>
      </c>
      <c r="V33" s="49" t="s">
        <v>359</v>
      </c>
      <c r="W33" s="49" t="s">
        <v>360</v>
      </c>
      <c r="X33" s="49" t="s">
        <v>361</v>
      </c>
      <c r="Y33" s="49" t="s">
        <v>362</v>
      </c>
      <c r="Z33" s="49" t="s">
        <v>363</v>
      </c>
      <c r="AA33" s="49" t="s">
        <v>364</v>
      </c>
      <c r="AB33" s="49" t="s">
        <v>365</v>
      </c>
    </row>
    <row r="34" spans="2:28" ht="14.5">
      <c r="B34" s="16"/>
      <c r="C34" s="151" t="s">
        <v>457</v>
      </c>
      <c r="D34" s="128" t="s">
        <v>456</v>
      </c>
      <c r="E34" s="131" t="s">
        <v>522</v>
      </c>
      <c r="F34" s="131" t="s">
        <v>522</v>
      </c>
      <c r="G34" s="131" t="s">
        <v>522</v>
      </c>
      <c r="H34" s="131" t="s">
        <v>522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522</v>
      </c>
      <c r="S34" s="49" t="s">
        <v>523</v>
      </c>
    </row>
    <row r="35" spans="2:28" ht="14.5">
      <c r="B35" s="16"/>
      <c r="C35" s="151" t="s">
        <v>615</v>
      </c>
      <c r="D35" s="128" t="s">
        <v>616</v>
      </c>
      <c r="E35" s="131" t="s">
        <v>614</v>
      </c>
      <c r="F35" s="131" t="s">
        <v>614</v>
      </c>
      <c r="G35" s="131" t="s">
        <v>614</v>
      </c>
      <c r="H35" s="131" t="s">
        <v>614</v>
      </c>
      <c r="I35" s="131" t="s">
        <v>614</v>
      </c>
      <c r="J35" s="131" t="s">
        <v>614</v>
      </c>
      <c r="K35" s="131" t="s">
        <v>614</v>
      </c>
      <c r="L35" s="131" t="s">
        <v>614</v>
      </c>
      <c r="M35" s="131" t="s">
        <v>614</v>
      </c>
      <c r="N35" s="131" t="s">
        <v>614</v>
      </c>
      <c r="O35" s="152" t="s">
        <v>142</v>
      </c>
      <c r="Q35" s="172"/>
      <c r="R35" s="49" t="s">
        <v>614</v>
      </c>
      <c r="S35" s="49" t="s">
        <v>617</v>
      </c>
      <c r="T35" s="41"/>
    </row>
    <row r="36" spans="2:28" ht="14.5">
      <c r="B36" s="16"/>
      <c r="C36" s="154" t="s">
        <v>449</v>
      </c>
      <c r="D36" s="98" t="s">
        <v>548</v>
      </c>
      <c r="E36" s="136" t="s">
        <v>458</v>
      </c>
      <c r="F36" s="136" t="s">
        <v>458</v>
      </c>
      <c r="G36" s="136" t="s">
        <v>459</v>
      </c>
      <c r="H36" s="136" t="s">
        <v>459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459</v>
      </c>
      <c r="S36" s="49" t="s">
        <v>458</v>
      </c>
    </row>
    <row r="37" spans="2:28" thickBot="1"/>
    <row r="38" spans="2:28" ht="14.5">
      <c r="C38" s="157" t="s">
        <v>276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6.5">
      <c r="C39" s="160" t="s">
        <v>356</v>
      </c>
      <c r="D39" s="161"/>
      <c r="E39" s="161" t="s">
        <v>541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 ht="14.5">
      <c r="C40" s="160"/>
      <c r="D40" s="161"/>
      <c r="E40" s="161" t="s">
        <v>542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 ht="14.5">
      <c r="C41" s="160"/>
      <c r="D41" s="161"/>
      <c r="E41" s="161" t="s">
        <v>534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 ht="14.5">
      <c r="C42" s="163"/>
      <c r="D42" s="161"/>
      <c r="E42" s="161" t="s">
        <v>539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 ht="14.5">
      <c r="C43" s="163"/>
      <c r="D43" s="161"/>
      <c r="E43" s="161" t="s">
        <v>540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 ht="14.5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 ht="14.5">
      <c r="C45" s="160" t="s">
        <v>545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 ht="14.5">
      <c r="C46" s="163" t="s">
        <v>546</v>
      </c>
      <c r="D46" s="164" t="s">
        <v>544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369</v>
      </c>
      <c r="K46" s="161"/>
      <c r="L46" s="161"/>
      <c r="M46" s="161"/>
      <c r="N46" s="161"/>
      <c r="O46" s="162"/>
    </row>
    <row r="47" spans="2:28" ht="14.5">
      <c r="C47" s="163" t="s">
        <v>355</v>
      </c>
      <c r="D47" s="164" t="s">
        <v>544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369</v>
      </c>
      <c r="K47" s="161"/>
      <c r="L47" s="161"/>
      <c r="M47" s="161"/>
      <c r="N47" s="161"/>
      <c r="O47" s="162"/>
    </row>
    <row r="48" spans="2:28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 ht="14.5"/>
    <row r="50" spans="2:15" ht="18.5">
      <c r="B50" s="146" t="s">
        <v>589</v>
      </c>
    </row>
    <row r="51" spans="2:15" ht="14.5">
      <c r="I51" s="1"/>
    </row>
    <row r="52" spans="2:15" ht="14.5">
      <c r="C52" s="40" t="s">
        <v>553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528</v>
      </c>
      <c r="D54" s="148" t="s">
        <v>524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 ht="14.5">
      <c r="B55" s="16"/>
      <c r="C55" s="151" t="s">
        <v>535</v>
      </c>
      <c r="D55" s="128" t="s">
        <v>526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 ht="14.5">
      <c r="B56" s="16"/>
      <c r="C56" s="151" t="s">
        <v>547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 ht="14.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 ht="14.5">
      <c r="B58" s="16"/>
      <c r="C58" s="151" t="s">
        <v>530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531</v>
      </c>
    </row>
    <row r="59" spans="2:15" ht="14.5">
      <c r="B59" s="16"/>
      <c r="C59" s="151" t="s">
        <v>525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 ht="14.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 ht="14.5"/>
    <row r="62" spans="2:15" ht="14.5">
      <c r="C62" s="40" t="s">
        <v>529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265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 ht="14.5">
      <c r="B65" s="16"/>
      <c r="C65" s="151" t="s">
        <v>536</v>
      </c>
      <c r="D65" s="153" t="s">
        <v>264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 ht="14.5">
      <c r="B66" s="16"/>
      <c r="C66" s="151" t="s">
        <v>543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 ht="14.5">
      <c r="B67" s="16"/>
      <c r="C67" s="151" t="s">
        <v>368</v>
      </c>
      <c r="D67" s="128" t="s">
        <v>367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 ht="14.5">
      <c r="B68" s="16"/>
      <c r="C68" s="151" t="s">
        <v>457</v>
      </c>
      <c r="D68" s="128" t="s">
        <v>456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 ht="14.5">
      <c r="B69" s="16"/>
      <c r="C69" s="151" t="s">
        <v>615</v>
      </c>
      <c r="D69" s="128" t="s">
        <v>616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 ht="14.5">
      <c r="B70" s="16"/>
      <c r="C70" s="154" t="s">
        <v>449</v>
      </c>
      <c r="D70" s="98" t="s">
        <v>548</v>
      </c>
      <c r="E70" s="137" t="s">
        <v>459</v>
      </c>
      <c r="F70" s="137" t="s">
        <v>459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 ht="14.5"/>
    <row r="72" spans="2:15" ht="15.75" customHeight="1">
      <c r="C72" s="289" t="s">
        <v>590</v>
      </c>
      <c r="D72" s="289"/>
      <c r="E72" s="289"/>
      <c r="F72" s="289"/>
    </row>
    <row r="73" spans="2:15" ht="14.5"/>
    <row r="74" spans="2:15" ht="14.5" hidden="1"/>
    <row r="75" spans="2:15" ht="14.5" hidden="1"/>
    <row r="76" spans="2:15" ht="14.5" hidden="1"/>
    <row r="77" spans="2:15" ht="14.5" hidden="1"/>
    <row r="78" spans="2:15" ht="14.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N3" sqref="N3"/>
    </sheetView>
  </sheetViews>
  <sheetFormatPr baseColWidth="10" defaultColWidth="0" defaultRowHeight="14.5" zeroHeight="1"/>
  <cols>
    <col min="1" max="1" width="2.81640625" customWidth="1"/>
    <col min="2" max="2" width="8" customWidth="1"/>
    <col min="3" max="3" width="37.453125" customWidth="1"/>
    <col min="4" max="4" width="10.7265625" customWidth="1"/>
    <col min="5" max="6" width="11.453125" customWidth="1"/>
    <col min="8" max="8" width="12.7265625" customWidth="1"/>
    <col min="9" max="9" width="15.453125" customWidth="1"/>
    <col min="10" max="11" width="12.7265625" customWidth="1"/>
    <col min="12" max="12" width="11.453125" customWidth="1"/>
    <col min="13" max="16" width="12.7265625" customWidth="1"/>
    <col min="17" max="17" width="14.1796875" customWidth="1"/>
    <col min="18" max="24" width="11.453125" customWidth="1"/>
    <col min="25" max="25" width="20.1796875" customWidth="1"/>
    <col min="26" max="26" width="11.453125" customWidth="1"/>
    <col min="27" max="16384" width="11.453125" hidden="1"/>
  </cols>
  <sheetData>
    <row r="1" spans="2:26" ht="75" customHeight="1" thickBot="1"/>
    <row r="2" spans="2:26" ht="23.5">
      <c r="B2" s="107" t="s">
        <v>371</v>
      </c>
    </row>
    <row r="3" spans="2:26">
      <c r="B3" t="s">
        <v>472</v>
      </c>
    </row>
    <row r="4" spans="2:26"/>
    <row r="5" spans="2:26">
      <c r="C5" s="38" t="s">
        <v>376</v>
      </c>
      <c r="D5" s="39" t="str">
        <f>Netzbetreiber!$D$9</f>
        <v>Stadtwerke St. Ingbert GmbH</v>
      </c>
      <c r="H5" s="68" t="s">
        <v>505</v>
      </c>
      <c r="I5" s="8" t="s">
        <v>508</v>
      </c>
    </row>
    <row r="6" spans="2:26">
      <c r="C6" s="38" t="s">
        <v>343</v>
      </c>
      <c r="D6" s="39" t="str">
        <f>Netzbetreiber!$D$28</f>
        <v>St. Ingbert</v>
      </c>
      <c r="I6" s="8" t="s">
        <v>519</v>
      </c>
    </row>
    <row r="7" spans="2:26">
      <c r="C7" s="38" t="s">
        <v>494</v>
      </c>
      <c r="D7" s="39" t="str">
        <f>Netzbetreiber!$D$11</f>
        <v>9870050600006</v>
      </c>
    </row>
    <row r="8" spans="2:26">
      <c r="C8" s="38" t="s">
        <v>133</v>
      </c>
      <c r="D8" s="37">
        <f>Netzbetreiber!$D$6</f>
        <v>44958</v>
      </c>
      <c r="H8" t="s">
        <v>503</v>
      </c>
      <c r="J8" s="108">
        <f>COUNTA(D12:D100)</f>
        <v>14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4" thickBot="1">
      <c r="B10" s="109" t="s">
        <v>249</v>
      </c>
      <c r="C10" s="110" t="s">
        <v>501</v>
      </c>
      <c r="D10" s="109" t="s">
        <v>147</v>
      </c>
      <c r="E10" s="230" t="s">
        <v>521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645</v>
      </c>
      <c r="M10" s="125" t="s">
        <v>654</v>
      </c>
      <c r="N10" s="126" t="s">
        <v>655</v>
      </c>
      <c r="O10" s="126" t="s">
        <v>656</v>
      </c>
      <c r="P10" s="127" t="s">
        <v>657</v>
      </c>
      <c r="Q10" s="121" t="s">
        <v>646</v>
      </c>
      <c r="R10" s="111" t="s">
        <v>647</v>
      </c>
      <c r="S10" s="112" t="s">
        <v>648</v>
      </c>
      <c r="T10" s="112" t="s">
        <v>649</v>
      </c>
      <c r="U10" s="112" t="s">
        <v>650</v>
      </c>
      <c r="V10" s="112" t="s">
        <v>651</v>
      </c>
      <c r="W10" s="112" t="s">
        <v>652</v>
      </c>
      <c r="X10" s="113" t="s">
        <v>653</v>
      </c>
      <c r="Y10" s="254" t="s">
        <v>658</v>
      </c>
    </row>
    <row r="11" spans="2:26" ht="15" thickBot="1">
      <c r="B11" s="114" t="s">
        <v>504</v>
      </c>
      <c r="C11" s="115" t="s">
        <v>520</v>
      </c>
      <c r="D11" s="253" t="s">
        <v>248</v>
      </c>
      <c r="E11" s="138" t="s">
        <v>252</v>
      </c>
      <c r="F11" s="255" t="str">
        <f>VLOOKUP($E11,'BDEW-Standard'!$B$3:$M$158,F$9,0)</f>
        <v>OK3</v>
      </c>
      <c r="H11" s="140">
        <f>ROUND(VLOOKUP($E11,'BDEW-Standard'!$B$3:$M$158,H$9,0),7)</f>
        <v>1.3554515</v>
      </c>
      <c r="I11" s="140">
        <f>ROUND(VLOOKUP($E11,'BDEW-Standard'!$B$3:$M$158,I$9,0),7)</f>
        <v>-35.141256300000002</v>
      </c>
      <c r="J11" s="140">
        <f>ROUND(VLOOKUP($E11,'BDEW-Standard'!$B$3:$M$158,J$9,0),7)</f>
        <v>7.1303394999999998</v>
      </c>
      <c r="K11" s="140">
        <f>ROUND(VLOOKUP($E11,'BDEW-Standard'!$B$3:$M$158,K$9,0),7)</f>
        <v>9.9061899999999994E-2</v>
      </c>
      <c r="L11" s="175">
        <f>ROUND(VLOOKUP($E11,'BDEW-Standard'!$B$3:$M$158,L$9,0),1)</f>
        <v>40</v>
      </c>
      <c r="M11" s="140">
        <f>ROUND(VLOOKUP($E11,'BDEW-Standard'!$B$3:$M$158,M$9,0),7)</f>
        <v>-5.26487E-2</v>
      </c>
      <c r="N11" s="140">
        <f>ROUND(VLOOKUP($E11,'BDEW-Standard'!$B$3:$M$158,N$9,0),7)</f>
        <v>0.86260859999999995</v>
      </c>
      <c r="O11" s="140">
        <f>ROUND(VLOOKUP($E11,'BDEW-Standard'!$B$3:$M$158,O$9,0),7)</f>
        <v>-8.8080000000000005E-4</v>
      </c>
      <c r="P11" s="140">
        <f>ROUND(VLOOKUP($E11,'BDEW-Standard'!$B$3:$M$158,P$9,0),7)</f>
        <v>9.6401399999999998E-2</v>
      </c>
      <c r="Q11" s="174">
        <f>($H11/(1+($I11/($Q$9-$L11))^$J11)+$K11)+MAX($M11*$Q$9+$N11,$O11*$Q$9+$P11)</f>
        <v>0.99999998782262245</v>
      </c>
      <c r="R11" s="141">
        <f>ROUND(VLOOKUP(MID($E11,4,3),'Wochentag F(WT)'!$B$7:$J$22,R$9,0),4)</f>
        <v>1.0354000000000001</v>
      </c>
      <c r="S11" s="141">
        <f>ROUND(VLOOKUP(MID($E11,4,3),'Wochentag F(WT)'!$B$7:$J$22,S$9,0),4)</f>
        <v>1.0523</v>
      </c>
      <c r="T11" s="141">
        <f>ROUND(VLOOKUP(MID($E11,4,3),'Wochentag F(WT)'!$B$7:$J$22,T$9,0),4)</f>
        <v>1.0448999999999999</v>
      </c>
      <c r="U11" s="141">
        <f>ROUND(VLOOKUP(MID($E11,4,3),'Wochentag F(WT)'!$B$7:$J$22,U$9,0),4)</f>
        <v>1.0494000000000001</v>
      </c>
      <c r="V11" s="141">
        <f>ROUND(VLOOKUP(MID($E11,4,3),'Wochentag F(WT)'!$B$7:$J$22,V$9,0),4)</f>
        <v>0.98850000000000005</v>
      </c>
      <c r="W11" s="141">
        <f>ROUND(VLOOKUP(MID($E11,4,3),'Wochentag F(WT)'!$B$7:$J$22,W$9,0),4)</f>
        <v>0.88600000000000001</v>
      </c>
      <c r="X11" s="142">
        <f>7-SUM(R11:W11)</f>
        <v>0.94349999999999934</v>
      </c>
      <c r="Y11" s="251">
        <v>365.12299999999999</v>
      </c>
    </row>
    <row r="12" spans="2:26">
      <c r="B12" s="116">
        <v>1</v>
      </c>
      <c r="C12" s="117" t="str">
        <f t="shared" ref="C12:C41" si="0">$D$6</f>
        <v>St. Ingbert</v>
      </c>
      <c r="D12" s="46" t="s">
        <v>248</v>
      </c>
      <c r="E12" s="139" t="s">
        <v>502</v>
      </c>
      <c r="F12" s="256" t="str">
        <f>VLOOKUP($E12,'BDEW-Standard'!$B$3:$M$94,F$9,0)</f>
        <v>1D3</v>
      </c>
      <c r="H12" s="231">
        <f>ROUND(VLOOKUP($E12,'BDEW-Standard'!$B$3:$M$94,H$9,0),7)</f>
        <v>1.6209544</v>
      </c>
      <c r="I12" s="231">
        <f>ROUND(VLOOKUP($E12,'BDEW-Standard'!$B$3:$M$94,I$9,0),7)</f>
        <v>-37.183314099999997</v>
      </c>
      <c r="J12" s="231">
        <f>ROUND(VLOOKUP($E12,'BDEW-Standard'!$B$3:$M$94,J$9,0),7)</f>
        <v>5.6727847000000002</v>
      </c>
      <c r="K12" s="231">
        <f>ROUND(VLOOKUP($E12,'BDEW-Standard'!$B$3:$M$94,K$9,0),7)</f>
        <v>7.1643100000000001E-2</v>
      </c>
      <c r="L12" s="232">
        <f>ROUND(VLOOKUP($E12,'BDEW-Standard'!$B$3:$M$94,L$9,0),1)</f>
        <v>40</v>
      </c>
      <c r="M12" s="231">
        <f>ROUND(VLOOKUP($E12,'BDEW-Standard'!$B$3:$M$94,M$9,0),7)</f>
        <v>-4.9570000000000003E-2</v>
      </c>
      <c r="N12" s="231">
        <f>ROUND(VLOOKUP($E12,'BDEW-Standard'!$B$3:$M$94,N$9,0),7)</f>
        <v>0.84010149999999995</v>
      </c>
      <c r="O12" s="231">
        <f>ROUND(VLOOKUP($E12,'BDEW-Standard'!$B$3:$M$94,O$9,0),7)</f>
        <v>-2.209E-3</v>
      </c>
      <c r="P12" s="231">
        <f>ROUND(VLOOKUP($E12,'BDEW-Standard'!$B$3:$M$94,P$9,0),7)</f>
        <v>0.1074468</v>
      </c>
      <c r="Q12" s="233">
        <f t="shared" ref="Q12:Q25" si="1">($H12/(1+($I12/($Q$9-$L12))^$J12)+$K12)+MAX($M12*$Q$9+$N12,$O12*$Q$9+$P12)</f>
        <v>1.0000001417752751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St. Ingbert</v>
      </c>
      <c r="D13" s="46" t="s">
        <v>248</v>
      </c>
      <c r="E13" s="139" t="s">
        <v>518</v>
      </c>
      <c r="F13" s="256" t="str">
        <f>VLOOKUP($E13,'BDEW-Standard'!$B$3:$M$94,F$9,0)</f>
        <v>2D3</v>
      </c>
      <c r="H13" s="231">
        <f>ROUND(VLOOKUP($E13,'BDEW-Standard'!$B$3:$M$94,H$9,0),7)</f>
        <v>1.2328654999999999</v>
      </c>
      <c r="I13" s="231">
        <f>ROUND(VLOOKUP($E13,'BDEW-Standard'!$B$3:$M$94,I$9,0),7)</f>
        <v>-34.721360500000003</v>
      </c>
      <c r="J13" s="231">
        <f>ROUND(VLOOKUP($E13,'BDEW-Standard'!$B$3:$M$94,J$9,0),7)</f>
        <v>5.8164303999999998</v>
      </c>
      <c r="K13" s="231">
        <f>ROUND(VLOOKUP($E13,'BDEW-Standard'!$B$3:$M$94,K$9,0),7)</f>
        <v>8.7335200000000002E-2</v>
      </c>
      <c r="L13" s="232">
        <f>ROUND(VLOOKUP($E13,'BDEW-Standard'!$B$3:$M$94,L$9,0),1)</f>
        <v>40</v>
      </c>
      <c r="M13" s="231">
        <f>ROUND(VLOOKUP($E13,'BDEW-Standard'!$B$3:$M$94,M$9,0),7)</f>
        <v>-4.0928399999999997E-2</v>
      </c>
      <c r="N13" s="231">
        <f>ROUND(VLOOKUP($E13,'BDEW-Standard'!$B$3:$M$94,N$9,0),7)</f>
        <v>0.76729199999999997</v>
      </c>
      <c r="O13" s="231">
        <f>ROUND(VLOOKUP($E13,'BDEW-Standard'!$B$3:$M$94,O$9,0),7)</f>
        <v>-2.232E-3</v>
      </c>
      <c r="P13" s="231">
        <f>ROUND(VLOOKUP($E13,'BDEW-Standard'!$B$3:$M$94,P$9,0),7)</f>
        <v>0.11992070000000001</v>
      </c>
      <c r="Q13" s="233">
        <f t="shared" si="1"/>
        <v>0.99999997653191475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 t="shared" ref="X13:X25" si="2">7-SUM(R13:W13)</f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St. Ingbert</v>
      </c>
      <c r="D14" s="46" t="s">
        <v>248</v>
      </c>
      <c r="E14" s="139" t="s">
        <v>677</v>
      </c>
      <c r="F14" s="256" t="str">
        <f>VLOOKUP($E14,'BDEW-Standard'!$B$3:$M$94,F$9,0)</f>
        <v>AB3</v>
      </c>
      <c r="H14" s="231">
        <f>ROUND(VLOOKUP($E14,'BDEW-Standard'!$B$3:$M$94,H$9,0),7)</f>
        <v>0.2770087</v>
      </c>
      <c r="I14" s="231">
        <f>ROUND(VLOOKUP($E14,'BDEW-Standard'!$B$3:$M$94,I$9,0),7)</f>
        <v>-33</v>
      </c>
      <c r="J14" s="231">
        <f>ROUND(VLOOKUP($E14,'BDEW-Standard'!$B$3:$M$94,J$9,0),7)</f>
        <v>5.7212303000000002</v>
      </c>
      <c r="K14" s="231">
        <f>ROUND(VLOOKUP($E14,'BDEW-Standard'!$B$3:$M$94,K$9,0),7)</f>
        <v>0.48651179999999999</v>
      </c>
      <c r="L14" s="232">
        <f>ROUND(VLOOKUP($E14,'BDEW-Standard'!$B$3:$M$94,L$9,0),1)</f>
        <v>40</v>
      </c>
      <c r="M14" s="231">
        <f>ROUND(VLOOKUP($E14,'BDEW-Standard'!$B$3:$M$94,M$9,0),7)</f>
        <v>-9.4848999999999992E-3</v>
      </c>
      <c r="N14" s="231">
        <f>ROUND(VLOOKUP($E14,'BDEW-Standard'!$B$3:$M$94,N$9,0),7)</f>
        <v>0.46302369999999998</v>
      </c>
      <c r="O14" s="231">
        <f>ROUND(VLOOKUP($E14,'BDEW-Standard'!$B$3:$M$94,O$9,0),7)</f>
        <v>-7.1339999999999999E-4</v>
      </c>
      <c r="P14" s="231">
        <f>ROUND(VLOOKUP($E14,'BDEW-Standard'!$B$3:$M$94,P$9,0),7)</f>
        <v>0.3867447</v>
      </c>
      <c r="Q14" s="233">
        <f t="shared" si="1"/>
        <v>1.0000000764227039</v>
      </c>
      <c r="R14" s="234">
        <f>ROUND(VLOOKUP(MID($E14,4,3),'Wochentag F(WT)'!$B$7:$J$22,R$9,0),4)</f>
        <v>1.0848</v>
      </c>
      <c r="S14" s="234">
        <f>ROUND(VLOOKUP(MID($E14,4,3),'Wochentag F(WT)'!$B$7:$J$22,S$9,0),4)</f>
        <v>1.1211</v>
      </c>
      <c r="T14" s="234">
        <f>ROUND(VLOOKUP(MID($E14,4,3),'Wochentag F(WT)'!$B$7:$J$22,T$9,0),4)</f>
        <v>1.0769</v>
      </c>
      <c r="U14" s="234">
        <f>ROUND(VLOOKUP(MID($E14,4,3),'Wochentag F(WT)'!$B$7:$J$22,U$9,0),4)</f>
        <v>1.1353</v>
      </c>
      <c r="V14" s="234">
        <f>ROUND(VLOOKUP(MID($E14,4,3),'Wochentag F(WT)'!$B$7:$J$22,V$9,0),4)</f>
        <v>1.1402000000000001</v>
      </c>
      <c r="W14" s="234">
        <f>ROUND(VLOOKUP(MID($E14,4,3),'Wochentag F(WT)'!$B$7:$J$22,W$9,0),4)</f>
        <v>0.48520000000000002</v>
      </c>
      <c r="X14" s="235">
        <f t="shared" si="2"/>
        <v>0.95650000000000013</v>
      </c>
      <c r="Y14" s="252"/>
      <c r="Z14" s="173"/>
    </row>
    <row r="15" spans="2:26" s="118" customFormat="1">
      <c r="B15" s="119">
        <v>4</v>
      </c>
      <c r="C15" s="120" t="str">
        <f t="shared" si="0"/>
        <v>St. Ingbert</v>
      </c>
      <c r="D15" s="46" t="s">
        <v>248</v>
      </c>
      <c r="E15" s="139" t="s">
        <v>254</v>
      </c>
      <c r="F15" s="256" t="str">
        <f>VLOOKUP($E15,'BDEW-Standard'!$B$3:$M$94,F$9,0)</f>
        <v>AG3</v>
      </c>
      <c r="H15" s="231">
        <f>ROUND(VLOOKUP($E15,'BDEW-Standard'!$B$3:$M$94,H$9,0),7)</f>
        <v>1.1582082</v>
      </c>
      <c r="I15" s="231">
        <f>ROUND(VLOOKUP($E15,'BDEW-Standard'!$B$3:$M$94,I$9,0),7)</f>
        <v>-36.287858399999998</v>
      </c>
      <c r="J15" s="231">
        <f>ROUND(VLOOKUP($E15,'BDEW-Standard'!$B$3:$M$94,J$9,0),7)</f>
        <v>6.5885125999999996</v>
      </c>
      <c r="K15" s="231">
        <f>ROUND(VLOOKUP($E15,'BDEW-Standard'!$B$3:$M$94,K$9,0),7)</f>
        <v>0.22356799999999999</v>
      </c>
      <c r="L15" s="232">
        <f>ROUND(VLOOKUP($E15,'BDEW-Standard'!$B$3:$M$94,L$9,0),1)</f>
        <v>40</v>
      </c>
      <c r="M15" s="231">
        <f>ROUND(VLOOKUP($E15,'BDEW-Standard'!$B$3:$M$94,M$9,0),7)</f>
        <v>-4.1033500000000001E-2</v>
      </c>
      <c r="N15" s="231">
        <f>ROUND(VLOOKUP($E15,'BDEW-Standard'!$B$3:$M$94,N$9,0),7)</f>
        <v>0.75264509999999996</v>
      </c>
      <c r="O15" s="231">
        <f>ROUND(VLOOKUP($E15,'BDEW-Standard'!$B$3:$M$94,O$9,0),7)</f>
        <v>-9.0879999999999997E-4</v>
      </c>
      <c r="P15" s="231">
        <f>ROUND(VLOOKUP($E15,'BDEW-Standard'!$B$3:$M$94,P$9,0),7)</f>
        <v>0.1916641</v>
      </c>
      <c r="Q15" s="233">
        <f t="shared" si="1"/>
        <v>0.99999977999083423</v>
      </c>
      <c r="R15" s="234">
        <f>ROUND(VLOOKUP(MID($E15,4,3),'Wochentag F(WT)'!$B$7:$J$22,R$9,0),4)</f>
        <v>0.93220000000000003</v>
      </c>
      <c r="S15" s="234">
        <f>ROUND(VLOOKUP(MID($E15,4,3),'Wochentag F(WT)'!$B$7:$J$22,S$9,0),4)</f>
        <v>0.98939999999999995</v>
      </c>
      <c r="T15" s="234">
        <f>ROUND(VLOOKUP(MID($E15,4,3),'Wochentag F(WT)'!$B$7:$J$22,T$9,0),4)</f>
        <v>1.0033000000000001</v>
      </c>
      <c r="U15" s="234">
        <f>ROUND(VLOOKUP(MID($E15,4,3),'Wochentag F(WT)'!$B$7:$J$22,U$9,0),4)</f>
        <v>1.0108999999999999</v>
      </c>
      <c r="V15" s="234">
        <f>ROUND(VLOOKUP(MID($E15,4,3),'Wochentag F(WT)'!$B$7:$J$22,V$9,0),4)</f>
        <v>1.018</v>
      </c>
      <c r="W15" s="234">
        <f>ROUND(VLOOKUP(MID($E15,4,3),'Wochentag F(WT)'!$B$7:$J$22,W$9,0),4)</f>
        <v>1.0356000000000001</v>
      </c>
      <c r="X15" s="235">
        <f t="shared" si="2"/>
        <v>1.0106000000000002</v>
      </c>
      <c r="Y15" s="252"/>
      <c r="Z15" s="173"/>
    </row>
    <row r="16" spans="2:26" s="118" customFormat="1">
      <c r="B16" s="119">
        <v>5</v>
      </c>
      <c r="C16" s="120" t="str">
        <f t="shared" si="0"/>
        <v>St. Ingbert</v>
      </c>
      <c r="D16" s="46" t="s">
        <v>248</v>
      </c>
      <c r="E16" s="139" t="s">
        <v>251</v>
      </c>
      <c r="F16" s="256" t="str">
        <f>VLOOKUP($E16,'BDEW-Standard'!$B$3:$M$94,F$9,0)</f>
        <v>AH3</v>
      </c>
      <c r="H16" s="231">
        <f>ROUND(VLOOKUP($E16,'BDEW-Standard'!$B$3:$M$94,H$9,0),7)</f>
        <v>1.9724775000000001</v>
      </c>
      <c r="I16" s="231">
        <f>ROUND(VLOOKUP($E16,'BDEW-Standard'!$B$3:$M$94,I$9,0),7)</f>
        <v>-36.965006500000001</v>
      </c>
      <c r="J16" s="231">
        <f>ROUND(VLOOKUP($E16,'BDEW-Standard'!$B$3:$M$94,J$9,0),7)</f>
        <v>7.2256947</v>
      </c>
      <c r="K16" s="231">
        <f>ROUND(VLOOKUP($E16,'BDEW-Standard'!$B$3:$M$94,K$9,0),7)</f>
        <v>3.4578200000000003E-2</v>
      </c>
      <c r="L16" s="232">
        <f>ROUND(VLOOKUP($E16,'BDEW-Standard'!$B$3:$M$94,L$9,0),1)</f>
        <v>40</v>
      </c>
      <c r="M16" s="231">
        <f>ROUND(VLOOKUP($E16,'BDEW-Standard'!$B$3:$M$94,M$9,0),7)</f>
        <v>-7.4217400000000003E-2</v>
      </c>
      <c r="N16" s="231">
        <f>ROUND(VLOOKUP($E16,'BDEW-Standard'!$B$3:$M$94,N$9,0),7)</f>
        <v>1.0448869000000001</v>
      </c>
      <c r="O16" s="231">
        <f>ROUND(VLOOKUP($E16,'BDEW-Standard'!$B$3:$M$94,O$9,0),7)</f>
        <v>-8.2950000000000005E-4</v>
      </c>
      <c r="P16" s="231">
        <f>ROUND(VLOOKUP($E16,'BDEW-Standard'!$B$3:$M$94,P$9,0),7)</f>
        <v>4.6179499999999998E-2</v>
      </c>
      <c r="Q16" s="233">
        <f t="shared" si="1"/>
        <v>1.0000000832749945</v>
      </c>
      <c r="R16" s="234">
        <f>ROUND(VLOOKUP(MID($E16,4,3),'Wochentag F(WT)'!$B$7:$J$22,R$9,0),4)</f>
        <v>1.0358000000000001</v>
      </c>
      <c r="S16" s="234">
        <f>ROUND(VLOOKUP(MID($E16,4,3),'Wochentag F(WT)'!$B$7:$J$22,S$9,0),4)</f>
        <v>1.0232000000000001</v>
      </c>
      <c r="T16" s="234">
        <f>ROUND(VLOOKUP(MID($E16,4,3),'Wochentag F(WT)'!$B$7:$J$22,T$9,0),4)</f>
        <v>1.0251999999999999</v>
      </c>
      <c r="U16" s="234">
        <f>ROUND(VLOOKUP(MID($E16,4,3),'Wochentag F(WT)'!$B$7:$J$22,U$9,0),4)</f>
        <v>1.0295000000000001</v>
      </c>
      <c r="V16" s="234">
        <f>ROUND(VLOOKUP(MID($E16,4,3),'Wochentag F(WT)'!$B$7:$J$22,V$9,0),4)</f>
        <v>1.0253000000000001</v>
      </c>
      <c r="W16" s="234">
        <f>ROUND(VLOOKUP(MID($E16,4,3),'Wochentag F(WT)'!$B$7:$J$22,W$9,0),4)</f>
        <v>0.96750000000000003</v>
      </c>
      <c r="X16" s="235">
        <f t="shared" si="2"/>
        <v>0.89350000000000041</v>
      </c>
      <c r="Y16" s="252"/>
      <c r="Z16" s="173"/>
    </row>
    <row r="17" spans="2:26" s="118" customFormat="1">
      <c r="B17" s="119">
        <v>6</v>
      </c>
      <c r="C17" s="120" t="str">
        <f t="shared" si="0"/>
        <v>St. Ingbert</v>
      </c>
      <c r="D17" s="46" t="s">
        <v>248</v>
      </c>
      <c r="E17" s="139" t="s">
        <v>255</v>
      </c>
      <c r="F17" s="256" t="str">
        <f>VLOOKUP($E17,'BDEW-Standard'!$B$3:$M$94,F$9,0)</f>
        <v>AW3</v>
      </c>
      <c r="H17" s="231">
        <f>ROUND(VLOOKUP($E17,'BDEW-Standard'!$B$3:$M$94,H$9,0),7)</f>
        <v>0.33378380000000002</v>
      </c>
      <c r="I17" s="231">
        <f>ROUND(VLOOKUP($E17,'BDEW-Standard'!$B$3:$M$94,I$9,0),7)</f>
        <v>-36.023791199999998</v>
      </c>
      <c r="J17" s="231">
        <f>ROUND(VLOOKUP($E17,'BDEW-Standard'!$B$3:$M$94,J$9,0),7)</f>
        <v>4.8662747</v>
      </c>
      <c r="K17" s="231">
        <f>ROUND(VLOOKUP($E17,'BDEW-Standard'!$B$3:$M$94,K$9,0),7)</f>
        <v>0.491228</v>
      </c>
      <c r="L17" s="232">
        <f>ROUND(VLOOKUP($E17,'BDEW-Standard'!$B$3:$M$94,L$9,0),1)</f>
        <v>40</v>
      </c>
      <c r="M17" s="231">
        <f>ROUND(VLOOKUP($E17,'BDEW-Standard'!$B$3:$M$94,M$9,0),7)</f>
        <v>-9.2262999999999998E-3</v>
      </c>
      <c r="N17" s="231">
        <f>ROUND(VLOOKUP($E17,'BDEW-Standard'!$B$3:$M$94,N$9,0),7)</f>
        <v>0.45957569999999998</v>
      </c>
      <c r="O17" s="231">
        <f>ROUND(VLOOKUP($E17,'BDEW-Standard'!$B$3:$M$94,O$9,0),7)</f>
        <v>-9.6759999999999999E-4</v>
      </c>
      <c r="P17" s="231">
        <f>ROUND(VLOOKUP($E17,'BDEW-Standard'!$B$3:$M$94,P$9,0),7)</f>
        <v>0.39642909999999998</v>
      </c>
      <c r="Q17" s="233">
        <f t="shared" si="1"/>
        <v>1.000000394217609</v>
      </c>
      <c r="R17" s="234">
        <f>ROUND(VLOOKUP(MID($E17,4,3),'Wochentag F(WT)'!$B$7:$J$22,R$9,0),4)</f>
        <v>1.2457</v>
      </c>
      <c r="S17" s="234">
        <f>ROUND(VLOOKUP(MID($E17,4,3),'Wochentag F(WT)'!$B$7:$J$22,S$9,0),4)</f>
        <v>1.2615000000000001</v>
      </c>
      <c r="T17" s="234">
        <f>ROUND(VLOOKUP(MID($E17,4,3),'Wochentag F(WT)'!$B$7:$J$22,T$9,0),4)</f>
        <v>1.2706999999999999</v>
      </c>
      <c r="U17" s="234">
        <f>ROUND(VLOOKUP(MID($E17,4,3),'Wochentag F(WT)'!$B$7:$J$22,U$9,0),4)</f>
        <v>1.2430000000000001</v>
      </c>
      <c r="V17" s="234">
        <f>ROUND(VLOOKUP(MID($E17,4,3),'Wochentag F(WT)'!$B$7:$J$22,V$9,0),4)</f>
        <v>1.1275999999999999</v>
      </c>
      <c r="W17" s="234">
        <f>ROUND(VLOOKUP(MID($E17,4,3),'Wochentag F(WT)'!$B$7:$J$22,W$9,0),4)</f>
        <v>0.38769999999999999</v>
      </c>
      <c r="X17" s="235">
        <f t="shared" si="2"/>
        <v>0.46379999999999999</v>
      </c>
      <c r="Y17" s="252"/>
      <c r="Z17" s="173"/>
    </row>
    <row r="18" spans="2:26" s="118" customFormat="1">
      <c r="B18" s="119">
        <v>7</v>
      </c>
      <c r="C18" s="120" t="str">
        <f t="shared" si="0"/>
        <v>St. Ingbert</v>
      </c>
      <c r="D18" s="46" t="s">
        <v>248</v>
      </c>
      <c r="E18" s="139" t="s">
        <v>257</v>
      </c>
      <c r="F18" s="256" t="str">
        <f>VLOOKUP($E18,'BDEW-Standard'!$B$3:$M$94,F$9,0)</f>
        <v>BG3</v>
      </c>
      <c r="H18" s="231">
        <f>ROUND(VLOOKUP($E18,'BDEW-Standard'!$B$3:$M$94,H$9,0),7)</f>
        <v>1.8213778</v>
      </c>
      <c r="I18" s="231">
        <f>ROUND(VLOOKUP($E18,'BDEW-Standard'!$B$3:$M$94,I$9,0),7)</f>
        <v>-37.5</v>
      </c>
      <c r="J18" s="231">
        <f>ROUND(VLOOKUP($E18,'BDEW-Standard'!$B$3:$M$94,J$9,0),7)</f>
        <v>6.3462148000000003</v>
      </c>
      <c r="K18" s="231">
        <f>ROUND(VLOOKUP($E18,'BDEW-Standard'!$B$3:$M$94,K$9,0),7)</f>
        <v>6.7811800000000005E-2</v>
      </c>
      <c r="L18" s="232">
        <f>ROUND(VLOOKUP($E18,'BDEW-Standard'!$B$3:$M$94,L$9,0),1)</f>
        <v>40</v>
      </c>
      <c r="M18" s="231">
        <f>ROUND(VLOOKUP($E18,'BDEW-Standard'!$B$3:$M$94,M$9,0),7)</f>
        <v>-6.0766599999999997E-2</v>
      </c>
      <c r="N18" s="231">
        <f>ROUND(VLOOKUP($E18,'BDEW-Standard'!$B$3:$M$94,N$9,0),7)</f>
        <v>0.93081590000000003</v>
      </c>
      <c r="O18" s="231">
        <f>ROUND(VLOOKUP($E18,'BDEW-Standard'!$B$3:$M$94,O$9,0),7)</f>
        <v>-1.3967000000000001E-3</v>
      </c>
      <c r="P18" s="231">
        <f>ROUND(VLOOKUP($E18,'BDEW-Standard'!$B$3:$M$94,P$9,0),7)</f>
        <v>8.5039900000000002E-2</v>
      </c>
      <c r="Q18" s="233">
        <f t="shared" si="1"/>
        <v>0.99999980465705085</v>
      </c>
      <c r="R18" s="234">
        <f>ROUND(VLOOKUP(MID($E18,4,3),'Wochentag F(WT)'!$B$7:$J$22,R$9,0),4)</f>
        <v>0.98970000000000002</v>
      </c>
      <c r="S18" s="234">
        <f>ROUND(VLOOKUP(MID($E18,4,3),'Wochentag F(WT)'!$B$7:$J$22,S$9,0),4)</f>
        <v>0.9627</v>
      </c>
      <c r="T18" s="234">
        <f>ROUND(VLOOKUP(MID($E18,4,3),'Wochentag F(WT)'!$B$7:$J$22,T$9,0),4)</f>
        <v>1.0507</v>
      </c>
      <c r="U18" s="234">
        <f>ROUND(VLOOKUP(MID($E18,4,3),'Wochentag F(WT)'!$B$7:$J$22,U$9,0),4)</f>
        <v>1.0551999999999999</v>
      </c>
      <c r="V18" s="234">
        <f>ROUND(VLOOKUP(MID($E18,4,3),'Wochentag F(WT)'!$B$7:$J$22,V$9,0),4)</f>
        <v>1.0297000000000001</v>
      </c>
      <c r="W18" s="234">
        <f>ROUND(VLOOKUP(MID($E18,4,3),'Wochentag F(WT)'!$B$7:$J$22,W$9,0),4)</f>
        <v>0.97670000000000001</v>
      </c>
      <c r="X18" s="235">
        <f t="shared" si="2"/>
        <v>0.9352999999999998</v>
      </c>
      <c r="Y18" s="252"/>
      <c r="Z18" s="173"/>
    </row>
    <row r="19" spans="2:26" s="118" customFormat="1">
      <c r="B19" s="119">
        <v>8</v>
      </c>
      <c r="C19" s="120" t="str">
        <f t="shared" si="0"/>
        <v>St. Ingbert</v>
      </c>
      <c r="D19" s="46" t="s">
        <v>248</v>
      </c>
      <c r="E19" s="139" t="s">
        <v>253</v>
      </c>
      <c r="F19" s="256" t="str">
        <f>VLOOKUP($E19,'BDEW-Standard'!$B$3:$M$94,F$9,0)</f>
        <v>DB3</v>
      </c>
      <c r="H19" s="231">
        <f>ROUND(VLOOKUP($E19,'BDEW-Standard'!$B$3:$M$94,H$9,0),7)</f>
        <v>1.4633681999999999</v>
      </c>
      <c r="I19" s="231">
        <f>ROUND(VLOOKUP($E19,'BDEW-Standard'!$B$3:$M$94,I$9,0),7)</f>
        <v>-36.179411700000003</v>
      </c>
      <c r="J19" s="231">
        <f>ROUND(VLOOKUP($E19,'BDEW-Standard'!$B$3:$M$94,J$9,0),7)</f>
        <v>5.9265162</v>
      </c>
      <c r="K19" s="231">
        <f>ROUND(VLOOKUP($E19,'BDEW-Standard'!$B$3:$M$94,K$9,0),7)</f>
        <v>8.0883499999999997E-2</v>
      </c>
      <c r="L19" s="232">
        <f>ROUND(VLOOKUP($E19,'BDEW-Standard'!$B$3:$M$94,L$9,0),1)</f>
        <v>40</v>
      </c>
      <c r="M19" s="231">
        <f>ROUND(VLOOKUP($E19,'BDEW-Standard'!$B$3:$M$94,M$9,0),7)</f>
        <v>-4.7579999999999997E-2</v>
      </c>
      <c r="N19" s="231">
        <f>ROUND(VLOOKUP($E19,'BDEW-Standard'!$B$3:$M$94,N$9,0),7)</f>
        <v>0.82307540000000001</v>
      </c>
      <c r="O19" s="231">
        <f>ROUND(VLOOKUP($E19,'BDEW-Standard'!$B$3:$M$94,O$9,0),7)</f>
        <v>-1.9273000000000001E-3</v>
      </c>
      <c r="P19" s="231">
        <f>ROUND(VLOOKUP($E19,'BDEW-Standard'!$B$3:$M$94,P$9,0),7)</f>
        <v>0.1077046</v>
      </c>
      <c r="Q19" s="233">
        <f t="shared" si="1"/>
        <v>0.99999993818735389</v>
      </c>
      <c r="R19" s="234">
        <f>ROUND(VLOOKUP(MID($E19,4,3),'Wochentag F(WT)'!$B$7:$J$22,R$9,0),4)</f>
        <v>1.1052</v>
      </c>
      <c r="S19" s="234">
        <f>ROUND(VLOOKUP(MID($E19,4,3),'Wochentag F(WT)'!$B$7:$J$22,S$9,0),4)</f>
        <v>1.0857000000000001</v>
      </c>
      <c r="T19" s="234">
        <f>ROUND(VLOOKUP(MID($E19,4,3),'Wochentag F(WT)'!$B$7:$J$22,T$9,0),4)</f>
        <v>1.0378000000000001</v>
      </c>
      <c r="U19" s="234">
        <f>ROUND(VLOOKUP(MID($E19,4,3),'Wochentag F(WT)'!$B$7:$J$22,U$9,0),4)</f>
        <v>1.0622</v>
      </c>
      <c r="V19" s="234">
        <f>ROUND(VLOOKUP(MID($E19,4,3),'Wochentag F(WT)'!$B$7:$J$22,V$9,0),4)</f>
        <v>1.0266</v>
      </c>
      <c r="W19" s="234">
        <f>ROUND(VLOOKUP(MID($E19,4,3),'Wochentag F(WT)'!$B$7:$J$22,W$9,0),4)</f>
        <v>0.76290000000000002</v>
      </c>
      <c r="X19" s="235">
        <f t="shared" si="2"/>
        <v>0.91959999999999997</v>
      </c>
      <c r="Y19" s="252"/>
      <c r="Z19" s="173"/>
    </row>
    <row r="20" spans="2:26" s="118" customFormat="1">
      <c r="B20" s="119">
        <v>9</v>
      </c>
      <c r="C20" s="120" t="str">
        <f t="shared" si="0"/>
        <v>St. Ingbert</v>
      </c>
      <c r="D20" s="46" t="s">
        <v>248</v>
      </c>
      <c r="E20" s="139" t="s">
        <v>256</v>
      </c>
      <c r="F20" s="256" t="str">
        <f>VLOOKUP($E20,'BDEW-Standard'!$B$3:$M$94,F$9,0)</f>
        <v>DP3</v>
      </c>
      <c r="H20" s="231">
        <f>ROUND(VLOOKUP($E20,'BDEW-Standard'!$B$3:$M$94,H$9,0),7)</f>
        <v>1.7110738999999999</v>
      </c>
      <c r="I20" s="231">
        <f>ROUND(VLOOKUP($E20,'BDEW-Standard'!$B$3:$M$94,I$9,0),7)</f>
        <v>-35.799999999999997</v>
      </c>
      <c r="J20" s="231">
        <f>ROUND(VLOOKUP($E20,'BDEW-Standard'!$B$3:$M$94,J$9,0),7)</f>
        <v>8.4</v>
      </c>
      <c r="K20" s="231">
        <f>ROUND(VLOOKUP($E20,'BDEW-Standard'!$B$3:$M$94,K$9,0),7)</f>
        <v>7.02546E-2</v>
      </c>
      <c r="L20" s="232">
        <f>ROUND(VLOOKUP($E20,'BDEW-Standard'!$B$3:$M$94,L$9,0),1)</f>
        <v>40</v>
      </c>
      <c r="M20" s="231">
        <f>ROUND(VLOOKUP($E20,'BDEW-Standard'!$B$3:$M$94,M$9,0),7)</f>
        <v>-7.4538099999999996E-2</v>
      </c>
      <c r="N20" s="231">
        <f>ROUND(VLOOKUP($E20,'BDEW-Standard'!$B$3:$M$94,N$9,0),7)</f>
        <v>1.0463005000000001</v>
      </c>
      <c r="O20" s="231">
        <f>ROUND(VLOOKUP($E20,'BDEW-Standard'!$B$3:$M$94,O$9,0),7)</f>
        <v>-3.6719999999999998E-4</v>
      </c>
      <c r="P20" s="231">
        <f>ROUND(VLOOKUP($E20,'BDEW-Standard'!$B$3:$M$94,P$9,0),7)</f>
        <v>6.2188199999999999E-2</v>
      </c>
      <c r="Q20" s="233">
        <f t="shared" si="1"/>
        <v>1.0000000773228386</v>
      </c>
      <c r="R20" s="234">
        <f>ROUND(VLOOKUP(MID($E20,4,3),'Wochentag F(WT)'!$B$7:$J$22,R$9,0),4)</f>
        <v>1.0214000000000001</v>
      </c>
      <c r="S20" s="234">
        <f>ROUND(VLOOKUP(MID($E20,4,3),'Wochentag F(WT)'!$B$7:$J$22,S$9,0),4)</f>
        <v>1.0866</v>
      </c>
      <c r="T20" s="234">
        <f>ROUND(VLOOKUP(MID($E20,4,3),'Wochentag F(WT)'!$B$7:$J$22,T$9,0),4)</f>
        <v>1.0720000000000001</v>
      </c>
      <c r="U20" s="234">
        <f>ROUND(VLOOKUP(MID($E20,4,3),'Wochentag F(WT)'!$B$7:$J$22,U$9,0),4)</f>
        <v>1.0557000000000001</v>
      </c>
      <c r="V20" s="234">
        <f>ROUND(VLOOKUP(MID($E20,4,3),'Wochentag F(WT)'!$B$7:$J$22,V$9,0),4)</f>
        <v>1.0117</v>
      </c>
      <c r="W20" s="234">
        <f>ROUND(VLOOKUP(MID($E20,4,3),'Wochentag F(WT)'!$B$7:$J$22,W$9,0),4)</f>
        <v>0.90010000000000001</v>
      </c>
      <c r="X20" s="235">
        <f t="shared" si="2"/>
        <v>0.85249999999999915</v>
      </c>
      <c r="Y20" s="252"/>
      <c r="Z20" s="173"/>
    </row>
    <row r="21" spans="2:26" s="118" customFormat="1">
      <c r="B21" s="119">
        <v>10</v>
      </c>
      <c r="C21" s="120" t="str">
        <f t="shared" si="0"/>
        <v>St. Ingbert</v>
      </c>
      <c r="D21" s="46" t="s">
        <v>248</v>
      </c>
      <c r="E21" s="139" t="s">
        <v>678</v>
      </c>
      <c r="F21" s="256" t="str">
        <f>VLOOKUP($E21,'BDEW-Standard'!$B$3:$M$94,F$9,0)</f>
        <v>FM3</v>
      </c>
      <c r="H21" s="231">
        <f>ROUND(VLOOKUP($E21,'BDEW-Standard'!$B$3:$M$94,H$9,0),7)</f>
        <v>1.2328654999999999</v>
      </c>
      <c r="I21" s="231">
        <f>ROUND(VLOOKUP($E21,'BDEW-Standard'!$B$3:$M$94,I$9,0),7)</f>
        <v>-34.721360500000003</v>
      </c>
      <c r="J21" s="231">
        <f>ROUND(VLOOKUP($E21,'BDEW-Standard'!$B$3:$M$94,J$9,0),7)</f>
        <v>5.8164303999999998</v>
      </c>
      <c r="K21" s="231">
        <f>ROUND(VLOOKUP($E21,'BDEW-Standard'!$B$3:$M$94,K$9,0),7)</f>
        <v>8.7335200000000002E-2</v>
      </c>
      <c r="L21" s="232">
        <f>ROUND(VLOOKUP($E21,'BDEW-Standard'!$B$3:$M$94,L$9,0),1)</f>
        <v>40</v>
      </c>
      <c r="M21" s="231">
        <f>ROUND(VLOOKUP($E21,'BDEW-Standard'!$B$3:$M$94,M$9,0),7)</f>
        <v>-4.0928399999999997E-2</v>
      </c>
      <c r="N21" s="231">
        <f>ROUND(VLOOKUP($E21,'BDEW-Standard'!$B$3:$M$94,N$9,0),7)</f>
        <v>0.76729199999999997</v>
      </c>
      <c r="O21" s="231">
        <f>ROUND(VLOOKUP($E21,'BDEW-Standard'!$B$3:$M$94,O$9,0),7)</f>
        <v>-2.232E-3</v>
      </c>
      <c r="P21" s="231">
        <f>ROUND(VLOOKUP($E21,'BDEW-Standard'!$B$3:$M$94,P$9,0),7)</f>
        <v>0.11992070000000001</v>
      </c>
      <c r="Q21" s="233">
        <f t="shared" si="1"/>
        <v>0.99999997653191475</v>
      </c>
      <c r="R21" s="234">
        <f>ROUND(VLOOKUP(MID($E21,4,3),'Wochentag F(WT)'!$B$7:$J$22,R$9,0),4)</f>
        <v>1.0354000000000001</v>
      </c>
      <c r="S21" s="234">
        <f>ROUND(VLOOKUP(MID($E21,4,3),'Wochentag F(WT)'!$B$7:$J$22,S$9,0),4)</f>
        <v>1.0523</v>
      </c>
      <c r="T21" s="234">
        <f>ROUND(VLOOKUP(MID($E21,4,3),'Wochentag F(WT)'!$B$7:$J$22,T$9,0),4)</f>
        <v>1.0448999999999999</v>
      </c>
      <c r="U21" s="234">
        <f>ROUND(VLOOKUP(MID($E21,4,3),'Wochentag F(WT)'!$B$7:$J$22,U$9,0),4)</f>
        <v>1.0494000000000001</v>
      </c>
      <c r="V21" s="234">
        <f>ROUND(VLOOKUP(MID($E21,4,3),'Wochentag F(WT)'!$B$7:$J$22,V$9,0),4)</f>
        <v>0.98850000000000005</v>
      </c>
      <c r="W21" s="234">
        <f>ROUND(VLOOKUP(MID($E21,4,3),'Wochentag F(WT)'!$B$7:$J$22,W$9,0),4)</f>
        <v>0.88600000000000001</v>
      </c>
      <c r="X21" s="235">
        <f t="shared" si="2"/>
        <v>0.94349999999999934</v>
      </c>
      <c r="Y21" s="252"/>
      <c r="Z21" s="173"/>
    </row>
    <row r="22" spans="2:26" s="118" customFormat="1">
      <c r="B22" s="119">
        <v>11</v>
      </c>
      <c r="C22" s="120" t="str">
        <f t="shared" si="0"/>
        <v>St. Ingbert</v>
      </c>
      <c r="D22" s="46" t="s">
        <v>248</v>
      </c>
      <c r="E22" s="139" t="s">
        <v>258</v>
      </c>
      <c r="F22" s="256" t="str">
        <f>VLOOKUP($E22,'BDEW-Standard'!$B$3:$M$94,F$9,0)</f>
        <v>HB3</v>
      </c>
      <c r="H22" s="231">
        <f>ROUND(VLOOKUP($E22,'BDEW-Standard'!$B$3:$M$94,H$9,0),7)</f>
        <v>0.98742830000000004</v>
      </c>
      <c r="I22" s="231">
        <f>ROUND(VLOOKUP($E22,'BDEW-Standard'!$B$3:$M$94,I$9,0),7)</f>
        <v>-35.253212400000002</v>
      </c>
      <c r="J22" s="231">
        <f>ROUND(VLOOKUP($E22,'BDEW-Standard'!$B$3:$M$94,J$9,0),7)</f>
        <v>6.1544406</v>
      </c>
      <c r="K22" s="231">
        <f>ROUND(VLOOKUP($E22,'BDEW-Standard'!$B$3:$M$94,K$9,0),7)</f>
        <v>0.22657160000000001</v>
      </c>
      <c r="L22" s="232">
        <f>ROUND(VLOOKUP($E22,'BDEW-Standard'!$B$3:$M$94,L$9,0),1)</f>
        <v>40</v>
      </c>
      <c r="M22" s="231">
        <f>ROUND(VLOOKUP($E22,'BDEW-Standard'!$B$3:$M$94,M$9,0),7)</f>
        <v>-3.3902000000000002E-2</v>
      </c>
      <c r="N22" s="231">
        <f>ROUND(VLOOKUP($E22,'BDEW-Standard'!$B$3:$M$94,N$9,0),7)</f>
        <v>0.69382339999999998</v>
      </c>
      <c r="O22" s="231">
        <f>ROUND(VLOOKUP($E22,'BDEW-Standard'!$B$3:$M$94,O$9,0),7)</f>
        <v>-1.2849000000000001E-3</v>
      </c>
      <c r="P22" s="231">
        <f>ROUND(VLOOKUP($E22,'BDEW-Standard'!$B$3:$M$94,P$9,0),7)</f>
        <v>0.20297319999999999</v>
      </c>
      <c r="Q22" s="233">
        <f t="shared" si="1"/>
        <v>0.99999983700977324</v>
      </c>
      <c r="R22" s="234">
        <f>ROUND(VLOOKUP(MID($E22,4,3),'Wochentag F(WT)'!$B$7:$J$22,R$9,0),4)</f>
        <v>0.97670000000000001</v>
      </c>
      <c r="S22" s="234">
        <f>ROUND(VLOOKUP(MID($E22,4,3),'Wochentag F(WT)'!$B$7:$J$22,S$9,0),4)</f>
        <v>1.0388999999999999</v>
      </c>
      <c r="T22" s="234">
        <f>ROUND(VLOOKUP(MID($E22,4,3),'Wochentag F(WT)'!$B$7:$J$22,T$9,0),4)</f>
        <v>1.0027999999999999</v>
      </c>
      <c r="U22" s="234">
        <f>ROUND(VLOOKUP(MID($E22,4,3),'Wochentag F(WT)'!$B$7:$J$22,U$9,0),4)</f>
        <v>1.0162</v>
      </c>
      <c r="V22" s="234">
        <f>ROUND(VLOOKUP(MID($E22,4,3),'Wochentag F(WT)'!$B$7:$J$22,V$9,0),4)</f>
        <v>1.0024</v>
      </c>
      <c r="W22" s="234">
        <f>ROUND(VLOOKUP(MID($E22,4,3),'Wochentag F(WT)'!$B$7:$J$22,W$9,0),4)</f>
        <v>1.0043</v>
      </c>
      <c r="X22" s="235">
        <f t="shared" si="2"/>
        <v>0.95870000000000122</v>
      </c>
      <c r="Y22" s="252"/>
      <c r="Z22" s="173"/>
    </row>
    <row r="23" spans="2:26" s="118" customFormat="1">
      <c r="B23" s="119">
        <v>12</v>
      </c>
      <c r="C23" s="120" t="str">
        <f t="shared" si="0"/>
        <v>St. Ingbert</v>
      </c>
      <c r="D23" s="46" t="s">
        <v>248</v>
      </c>
      <c r="E23" s="139" t="s">
        <v>250</v>
      </c>
      <c r="F23" s="256" t="str">
        <f>VLOOKUP($E23,'BDEW-Standard'!$B$3:$M$94,F$9,0)</f>
        <v>KM3</v>
      </c>
      <c r="H23" s="231">
        <f>ROUND(VLOOKUP($E23,'BDEW-Standard'!$B$3:$M$94,H$9,0),7)</f>
        <v>1.4202418999999999</v>
      </c>
      <c r="I23" s="231">
        <f>ROUND(VLOOKUP($E23,'BDEW-Standard'!$B$3:$M$94,I$9,0),7)</f>
        <v>-34.880612999999997</v>
      </c>
      <c r="J23" s="231">
        <f>ROUND(VLOOKUP($E23,'BDEW-Standard'!$B$3:$M$94,J$9,0),7)</f>
        <v>6.5951899000000003</v>
      </c>
      <c r="K23" s="231">
        <f>ROUND(VLOOKUP($E23,'BDEW-Standard'!$B$3:$M$94,K$9,0),7)</f>
        <v>3.8531700000000002E-2</v>
      </c>
      <c r="L23" s="232">
        <f>ROUND(VLOOKUP($E23,'BDEW-Standard'!$B$3:$M$94,L$9,0),1)</f>
        <v>40</v>
      </c>
      <c r="M23" s="231">
        <f>ROUND(VLOOKUP($E23,'BDEW-Standard'!$B$3:$M$94,M$9,0),7)</f>
        <v>-5.2108399999999999E-2</v>
      </c>
      <c r="N23" s="231">
        <f>ROUND(VLOOKUP($E23,'BDEW-Standard'!$B$3:$M$94,N$9,0),7)</f>
        <v>0.86479189999999995</v>
      </c>
      <c r="O23" s="231">
        <f>ROUND(VLOOKUP($E23,'BDEW-Standard'!$B$3:$M$94,O$9,0),7)</f>
        <v>-1.4369000000000001E-3</v>
      </c>
      <c r="P23" s="231">
        <f>ROUND(VLOOKUP($E23,'BDEW-Standard'!$B$3:$M$94,P$9,0),7)</f>
        <v>6.3760200000000003E-2</v>
      </c>
      <c r="Q23" s="233">
        <f t="shared" si="1"/>
        <v>1.0000002125085892</v>
      </c>
      <c r="R23" s="234">
        <f>ROUND(VLOOKUP(MID($E23,4,3),'Wochentag F(WT)'!$B$7:$J$22,R$9,0),4)</f>
        <v>1.0699000000000001</v>
      </c>
      <c r="S23" s="234">
        <f>ROUND(VLOOKUP(MID($E23,4,3),'Wochentag F(WT)'!$B$7:$J$22,S$9,0),4)</f>
        <v>1.0365</v>
      </c>
      <c r="T23" s="234">
        <f>ROUND(VLOOKUP(MID($E23,4,3),'Wochentag F(WT)'!$B$7:$J$22,T$9,0),4)</f>
        <v>0.99329999999999996</v>
      </c>
      <c r="U23" s="234">
        <f>ROUND(VLOOKUP(MID($E23,4,3),'Wochentag F(WT)'!$B$7:$J$22,U$9,0),4)</f>
        <v>0.99480000000000002</v>
      </c>
      <c r="V23" s="234">
        <f>ROUND(VLOOKUP(MID($E23,4,3),'Wochentag F(WT)'!$B$7:$J$22,V$9,0),4)</f>
        <v>1.0659000000000001</v>
      </c>
      <c r="W23" s="234">
        <f>ROUND(VLOOKUP(MID($E23,4,3),'Wochentag F(WT)'!$B$7:$J$22,W$9,0),4)</f>
        <v>0.93620000000000003</v>
      </c>
      <c r="X23" s="235">
        <f t="shared" si="2"/>
        <v>0.90339999999999954</v>
      </c>
      <c r="Y23" s="252"/>
      <c r="Z23" s="173"/>
    </row>
    <row r="24" spans="2:26" s="118" customFormat="1">
      <c r="B24" s="119">
        <v>13</v>
      </c>
      <c r="C24" s="120" t="str">
        <f t="shared" si="0"/>
        <v>St. Ingbert</v>
      </c>
      <c r="D24" s="46" t="s">
        <v>248</v>
      </c>
      <c r="E24" s="139" t="s">
        <v>252</v>
      </c>
      <c r="F24" s="256" t="str">
        <f>VLOOKUP($E24,'BDEW-Standard'!$B$3:$M$94,F$9,0)</f>
        <v>OK3</v>
      </c>
      <c r="H24" s="231">
        <f>ROUND(VLOOKUP($E24,'BDEW-Standard'!$B$3:$M$94,H$9,0),7)</f>
        <v>1.3554515</v>
      </c>
      <c r="I24" s="231">
        <f>ROUND(VLOOKUP($E24,'BDEW-Standard'!$B$3:$M$94,I$9,0),7)</f>
        <v>-35.141256300000002</v>
      </c>
      <c r="J24" s="231">
        <f>ROUND(VLOOKUP($E24,'BDEW-Standard'!$B$3:$M$94,J$9,0),7)</f>
        <v>7.1303394999999998</v>
      </c>
      <c r="K24" s="231">
        <f>ROUND(VLOOKUP($E24,'BDEW-Standard'!$B$3:$M$94,K$9,0),7)</f>
        <v>9.9061899999999994E-2</v>
      </c>
      <c r="L24" s="232">
        <f>ROUND(VLOOKUP($E24,'BDEW-Standard'!$B$3:$M$94,L$9,0),1)</f>
        <v>40</v>
      </c>
      <c r="M24" s="231">
        <f>ROUND(VLOOKUP($E24,'BDEW-Standard'!$B$3:$M$94,M$9,0),7)</f>
        <v>-5.26487E-2</v>
      </c>
      <c r="N24" s="231">
        <f>ROUND(VLOOKUP($E24,'BDEW-Standard'!$B$3:$M$94,N$9,0),7)</f>
        <v>0.86260859999999995</v>
      </c>
      <c r="O24" s="231">
        <f>ROUND(VLOOKUP($E24,'BDEW-Standard'!$B$3:$M$94,O$9,0),7)</f>
        <v>-8.8080000000000005E-4</v>
      </c>
      <c r="P24" s="231">
        <f>ROUND(VLOOKUP($E24,'BDEW-Standard'!$B$3:$M$94,P$9,0),7)</f>
        <v>9.6401399999999998E-2</v>
      </c>
      <c r="Q24" s="233">
        <f t="shared" si="1"/>
        <v>0.99999998782262245</v>
      </c>
      <c r="R24" s="234">
        <f>ROUND(VLOOKUP(MID($E24,4,3),'Wochentag F(WT)'!$B$7:$J$22,R$9,0),4)</f>
        <v>1.0354000000000001</v>
      </c>
      <c r="S24" s="234">
        <f>ROUND(VLOOKUP(MID($E24,4,3),'Wochentag F(WT)'!$B$7:$J$22,S$9,0),4)</f>
        <v>1.0523</v>
      </c>
      <c r="T24" s="234">
        <f>ROUND(VLOOKUP(MID($E24,4,3),'Wochentag F(WT)'!$B$7:$J$22,T$9,0),4)</f>
        <v>1.0448999999999999</v>
      </c>
      <c r="U24" s="234">
        <f>ROUND(VLOOKUP(MID($E24,4,3),'Wochentag F(WT)'!$B$7:$J$22,U$9,0),4)</f>
        <v>1.0494000000000001</v>
      </c>
      <c r="V24" s="234">
        <f>ROUND(VLOOKUP(MID($E24,4,3),'Wochentag F(WT)'!$B$7:$J$22,V$9,0),4)</f>
        <v>0.98850000000000005</v>
      </c>
      <c r="W24" s="234">
        <f>ROUND(VLOOKUP(MID($E24,4,3),'Wochentag F(WT)'!$B$7:$J$22,W$9,0),4)</f>
        <v>0.88600000000000001</v>
      </c>
      <c r="X24" s="235">
        <f t="shared" si="2"/>
        <v>0.94349999999999934</v>
      </c>
      <c r="Y24" s="252"/>
      <c r="Z24" s="173"/>
    </row>
    <row r="25" spans="2:26" s="118" customFormat="1" ht="17.25" customHeight="1">
      <c r="B25" s="119">
        <v>14</v>
      </c>
      <c r="C25" s="120" t="str">
        <f t="shared" si="0"/>
        <v>St. Ingbert</v>
      </c>
      <c r="D25" s="46" t="s">
        <v>248</v>
      </c>
      <c r="E25" s="139" t="s">
        <v>4</v>
      </c>
      <c r="F25" s="256" t="str">
        <f>VLOOKUP($E25,'BDEW-Standard'!$B$3:$M$94,F$9,0)</f>
        <v>HK3</v>
      </c>
      <c r="H25" s="231">
        <f>ROUND(VLOOKUP($E25,'BDEW-Standard'!$B$3:$M$94,H$9,0),7)</f>
        <v>0.40409319999999999</v>
      </c>
      <c r="I25" s="231">
        <f>ROUND(VLOOKUP($E25,'BDEW-Standard'!$B$3:$M$94,I$9,0),7)</f>
        <v>-24.439296800000001</v>
      </c>
      <c r="J25" s="231">
        <f>ROUND(VLOOKUP($E25,'BDEW-Standard'!$B$3:$M$94,J$9,0),7)</f>
        <v>6.5718174999999999</v>
      </c>
      <c r="K25" s="231">
        <f>ROUND(VLOOKUP($E25,'BDEW-Standard'!$B$3:$M$94,K$9,0),7)</f>
        <v>0.71077100000000004</v>
      </c>
      <c r="L25" s="232">
        <f>ROUND(VLOOKUP($E25,'BDEW-Standard'!$B$3:$M$94,L$9,0),1)</f>
        <v>40</v>
      </c>
      <c r="M25" s="231">
        <f>ROUND(VLOOKUP($E25,'BDEW-Standard'!$B$3:$M$94,M$9,0),7)</f>
        <v>0</v>
      </c>
      <c r="N25" s="231">
        <f>ROUND(VLOOKUP($E25,'BDEW-Standard'!$B$3:$M$94,N$9,0),7)</f>
        <v>0</v>
      </c>
      <c r="O25" s="231">
        <f>ROUND(VLOOKUP($E25,'BDEW-Standard'!$B$3:$M$94,O$9,0),7)</f>
        <v>0</v>
      </c>
      <c r="P25" s="231">
        <f>ROUND(VLOOKUP($E25,'BDEW-Standard'!$B$3:$M$94,P$9,0),7)</f>
        <v>0</v>
      </c>
      <c r="Q25" s="233">
        <f t="shared" si="1"/>
        <v>1.0561214000512988</v>
      </c>
      <c r="R25" s="234">
        <f>ROUND(VLOOKUP(MID($E25,4,3),'Wochentag F(WT)'!$B$7:$J$22,R$9,0),4)</f>
        <v>1</v>
      </c>
      <c r="S25" s="234">
        <f>ROUND(VLOOKUP(MID($E25,4,3),'Wochentag F(WT)'!$B$7:$J$22,S$9,0),4)</f>
        <v>1</v>
      </c>
      <c r="T25" s="234">
        <f>ROUND(VLOOKUP(MID($E25,4,3),'Wochentag F(WT)'!$B$7:$J$22,T$9,0),4)</f>
        <v>1</v>
      </c>
      <c r="U25" s="234">
        <f>ROUND(VLOOKUP(MID($E25,4,3),'Wochentag F(WT)'!$B$7:$J$22,U$9,0),4)</f>
        <v>1</v>
      </c>
      <c r="V25" s="234">
        <f>ROUND(VLOOKUP(MID($E25,4,3),'Wochentag F(WT)'!$B$7:$J$22,V$9,0),4)</f>
        <v>1</v>
      </c>
      <c r="W25" s="234">
        <f>ROUND(VLOOKUP(MID($E25,4,3),'Wochentag F(WT)'!$B$7:$J$22,W$9,0),4)</f>
        <v>1</v>
      </c>
      <c r="X25" s="235">
        <f t="shared" si="2"/>
        <v>1</v>
      </c>
      <c r="Y25" s="252"/>
      <c r="Z25" s="173"/>
    </row>
    <row r="26" spans="2:26" s="118" customFormat="1">
      <c r="B26" s="119">
        <v>15</v>
      </c>
      <c r="C26" s="120" t="str">
        <f t="shared" si="0"/>
        <v>St. Ingbert</v>
      </c>
      <c r="D26" s="46"/>
      <c r="E26" s="139"/>
      <c r="F26" s="256"/>
      <c r="H26" s="231"/>
      <c r="I26" s="231"/>
      <c r="J26" s="231"/>
      <c r="K26" s="231"/>
      <c r="L26" s="232"/>
      <c r="M26" s="231"/>
      <c r="N26" s="231"/>
      <c r="O26" s="231"/>
      <c r="P26" s="231"/>
      <c r="Q26" s="233"/>
      <c r="R26" s="234"/>
      <c r="S26" s="234"/>
      <c r="T26" s="234"/>
      <c r="U26" s="234"/>
      <c r="V26" s="234"/>
      <c r="W26" s="234"/>
      <c r="X26" s="235"/>
      <c r="Y26" s="252"/>
      <c r="Z26" s="173"/>
    </row>
    <row r="27" spans="2:26" s="118" customFormat="1">
      <c r="B27" s="119">
        <v>16</v>
      </c>
      <c r="C27" s="120" t="str">
        <f t="shared" si="0"/>
        <v>St. Ingbert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St. Ingbert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St. Ingbert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St. Ingbert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St. Ingbert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St. Ingbert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St. Ingbert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St. Ingbert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St. Ingbert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St. Ingbert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St. Ingbert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St. Ingbert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St. Ingbert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St. Ingbert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St. Ingbert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66F09AE2-22B9-4BE3-946B-71EB0B3A5074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53125" defaultRowHeight="14.5"/>
  <cols>
    <col min="4" max="4" width="19.81640625" customWidth="1"/>
    <col min="5" max="9" width="16" customWidth="1"/>
    <col min="10" max="10" width="15.1796875" customWidth="1"/>
    <col min="11" max="12" width="16" customWidth="1"/>
    <col min="13" max="13" width="15.26953125" customWidth="1"/>
  </cols>
  <sheetData>
    <row r="1" spans="1:14">
      <c r="A1" s="16" t="s">
        <v>353</v>
      </c>
      <c r="B1" s="176">
        <v>42173</v>
      </c>
      <c r="D1" s="8" t="s">
        <v>460</v>
      </c>
      <c r="F1" s="177" t="s">
        <v>555</v>
      </c>
      <c r="N1" s="11"/>
    </row>
    <row r="2" spans="1:14" ht="25">
      <c r="A2" s="178" t="s">
        <v>277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323</v>
      </c>
      <c r="D95" t="s">
        <v>278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328</v>
      </c>
      <c r="D96" t="s">
        <v>278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333</v>
      </c>
      <c r="D97" t="s">
        <v>278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338</v>
      </c>
      <c r="D98" t="s">
        <v>278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291</v>
      </c>
      <c r="D99" t="s">
        <v>278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295</v>
      </c>
      <c r="D100" t="s">
        <v>278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299</v>
      </c>
      <c r="D101" t="s">
        <v>278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303</v>
      </c>
      <c r="D102" t="s">
        <v>278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307</v>
      </c>
      <c r="D103" t="s">
        <v>278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311</v>
      </c>
      <c r="D104" t="s">
        <v>278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315</v>
      </c>
      <c r="D105" t="s">
        <v>278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319</v>
      </c>
      <c r="D106" t="s">
        <v>278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324</v>
      </c>
      <c r="D107" t="s">
        <v>278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329</v>
      </c>
      <c r="D108" t="s">
        <v>278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334</v>
      </c>
      <c r="D109" t="s">
        <v>278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339</v>
      </c>
      <c r="D110" t="s">
        <v>278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279</v>
      </c>
      <c r="D111" t="s">
        <v>278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280</v>
      </c>
      <c r="D112" t="s">
        <v>278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281</v>
      </c>
      <c r="D113" t="s">
        <v>278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282</v>
      </c>
      <c r="D114" t="s">
        <v>278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292</v>
      </c>
      <c r="D115" t="s">
        <v>278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296</v>
      </c>
      <c r="D116" t="s">
        <v>278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300</v>
      </c>
      <c r="D117" t="s">
        <v>278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304</v>
      </c>
      <c r="D118" t="s">
        <v>278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283</v>
      </c>
      <c r="D119" t="s">
        <v>278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285</v>
      </c>
      <c r="D120" t="s">
        <v>278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287</v>
      </c>
      <c r="D121" t="s">
        <v>278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289</v>
      </c>
      <c r="D122" t="s">
        <v>278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325</v>
      </c>
      <c r="D123" t="s">
        <v>278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330</v>
      </c>
      <c r="D124" t="s">
        <v>278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335</v>
      </c>
      <c r="D125" t="s">
        <v>278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340</v>
      </c>
      <c r="D126" t="s">
        <v>278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293</v>
      </c>
      <c r="D127" t="s">
        <v>278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297</v>
      </c>
      <c r="D128" t="s">
        <v>278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301</v>
      </c>
      <c r="D129" t="s">
        <v>278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305</v>
      </c>
      <c r="D130" t="s">
        <v>278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294</v>
      </c>
      <c r="D131" t="s">
        <v>278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298</v>
      </c>
      <c r="D132" t="s">
        <v>278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302</v>
      </c>
      <c r="D133" t="s">
        <v>278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306</v>
      </c>
      <c r="D134" t="s">
        <v>278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308</v>
      </c>
      <c r="D135" t="s">
        <v>278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312</v>
      </c>
      <c r="D136" t="s">
        <v>278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316</v>
      </c>
      <c r="D137" t="s">
        <v>278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320</v>
      </c>
      <c r="D138" t="s">
        <v>278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309</v>
      </c>
      <c r="D139" t="s">
        <v>278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313</v>
      </c>
      <c r="D140" t="s">
        <v>278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317</v>
      </c>
      <c r="D141" t="s">
        <v>278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321</v>
      </c>
      <c r="D142" t="s">
        <v>278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284</v>
      </c>
      <c r="D143" t="s">
        <v>278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286</v>
      </c>
      <c r="D144" t="s">
        <v>278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288</v>
      </c>
      <c r="D145" t="s">
        <v>278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290</v>
      </c>
      <c r="D146" t="s">
        <v>278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310</v>
      </c>
      <c r="D147" t="s">
        <v>278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314</v>
      </c>
      <c r="D148" t="s">
        <v>278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318</v>
      </c>
      <c r="D149" t="s">
        <v>278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322</v>
      </c>
      <c r="D150" t="s">
        <v>278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326</v>
      </c>
      <c r="D151" t="s">
        <v>278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331</v>
      </c>
      <c r="D152" t="s">
        <v>278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336</v>
      </c>
      <c r="D153" t="s">
        <v>278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341</v>
      </c>
      <c r="D154" t="s">
        <v>278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327</v>
      </c>
      <c r="D155" t="s">
        <v>278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332</v>
      </c>
      <c r="D156" t="s">
        <v>278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337</v>
      </c>
      <c r="D157" t="s">
        <v>278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342</v>
      </c>
      <c r="D158" t="s">
        <v>278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P11" sqref="P11"/>
    </sheetView>
  </sheetViews>
  <sheetFormatPr baseColWidth="10" defaultColWidth="0" defaultRowHeight="12.5" zeroHeight="1"/>
  <cols>
    <col min="1" max="1" width="2.81640625" style="57" customWidth="1"/>
    <col min="2" max="2" width="15.1796875" style="57" customWidth="1"/>
    <col min="3" max="3" width="14.7265625" style="57" customWidth="1"/>
    <col min="4" max="4" width="5.81640625" style="57" hidden="1" customWidth="1"/>
    <col min="5" max="5" width="5.1796875" style="57" customWidth="1"/>
    <col min="6" max="12" width="12.7265625" style="57" customWidth="1"/>
    <col min="13" max="30" width="5.7265625" style="57" customWidth="1"/>
    <col min="31" max="31" width="11.453125" style="57" customWidth="1"/>
    <col min="32" max="16384" width="11.453125" style="57" hidden="1"/>
  </cols>
  <sheetData>
    <row r="1" spans="2:30" ht="75" customHeight="1"/>
    <row r="2" spans="2:30" ht="23">
      <c r="B2" s="66" t="s">
        <v>452</v>
      </c>
    </row>
    <row r="3" spans="2:30" ht="15" customHeight="1">
      <c r="B3" s="66"/>
    </row>
    <row r="4" spans="2:30" ht="15" customHeight="1">
      <c r="B4" s="48" t="s">
        <v>451</v>
      </c>
      <c r="C4" s="44" t="str">
        <f>Netzbetreiber!$D$9</f>
        <v>Stadtwerke St. Ingbert GmbH</v>
      </c>
      <c r="D4" s="58"/>
      <c r="G4" s="58"/>
      <c r="I4" s="58"/>
      <c r="J4" s="59"/>
      <c r="M4" s="67" t="s">
        <v>549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4.5">
      <c r="B5" s="67" t="s">
        <v>450</v>
      </c>
      <c r="C5" s="45" t="str">
        <f>Netzbetreiber!D28</f>
        <v>St. Ingbert</v>
      </c>
      <c r="D5" s="25"/>
      <c r="E5" s="58"/>
      <c r="F5" s="58"/>
      <c r="G5" s="58"/>
      <c r="I5" s="58"/>
      <c r="J5" s="58"/>
      <c r="K5" s="58"/>
      <c r="L5" s="58"/>
      <c r="M5" s="68" t="s">
        <v>517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4.5">
      <c r="B6" s="48" t="s">
        <v>448</v>
      </c>
      <c r="C6" s="44" t="str">
        <f>Netzbetreiber!$D$11</f>
        <v>9870050600006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" thickBot="1">
      <c r="B7" s="48" t="s">
        <v>133</v>
      </c>
      <c r="C7" s="43">
        <f>Netzbetreiber!$D$6</f>
        <v>44958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0" t="s">
        <v>464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2:30" ht="1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473</v>
      </c>
      <c r="N9" s="70" t="s">
        <v>378</v>
      </c>
      <c r="O9" s="71" t="s">
        <v>379</v>
      </c>
      <c r="P9" s="71" t="s">
        <v>380</v>
      </c>
      <c r="Q9" s="71" t="s">
        <v>381</v>
      </c>
      <c r="R9" s="71" t="s">
        <v>382</v>
      </c>
      <c r="S9" s="71" t="s">
        <v>383</v>
      </c>
      <c r="T9" s="71" t="s">
        <v>384</v>
      </c>
      <c r="U9" s="71" t="s">
        <v>385</v>
      </c>
      <c r="V9" s="71" t="s">
        <v>386</v>
      </c>
      <c r="W9" s="71" t="s">
        <v>387</v>
      </c>
      <c r="X9" s="71" t="s">
        <v>388</v>
      </c>
      <c r="Y9" s="71" t="s">
        <v>389</v>
      </c>
      <c r="Z9" s="71" t="s">
        <v>390</v>
      </c>
      <c r="AA9" s="71" t="s">
        <v>391</v>
      </c>
      <c r="AB9" s="71" t="s">
        <v>392</v>
      </c>
      <c r="AC9" s="72" t="s">
        <v>393</v>
      </c>
      <c r="AD9" s="72" t="s">
        <v>435</v>
      </c>
    </row>
    <row r="10" spans="2:30" ht="72" customHeight="1" thickBot="1">
      <c r="B10" s="295" t="s">
        <v>593</v>
      </c>
      <c r="C10" s="296"/>
      <c r="D10" s="73">
        <v>2</v>
      </c>
      <c r="E10" s="74" t="str">
        <f>IF(ISERROR(HLOOKUP(E$11,$M$9:$AD$35,$D10,0)),"",HLOOKUP(E$11,$M$9:$AD$35,$D10,0))</f>
        <v/>
      </c>
      <c r="F10" s="293" t="s">
        <v>404</v>
      </c>
      <c r="G10" s="293"/>
      <c r="H10" s="293"/>
      <c r="I10" s="293"/>
      <c r="J10" s="293"/>
      <c r="K10" s="293"/>
      <c r="L10" s="294"/>
      <c r="M10" s="75" t="s">
        <v>474</v>
      </c>
      <c r="N10" s="76" t="s">
        <v>475</v>
      </c>
      <c r="O10" s="77" t="s">
        <v>476</v>
      </c>
      <c r="P10" s="78" t="s">
        <v>477</v>
      </c>
      <c r="Q10" s="78" t="s">
        <v>478</v>
      </c>
      <c r="R10" s="78" t="s">
        <v>479</v>
      </c>
      <c r="S10" s="78" t="s">
        <v>480</v>
      </c>
      <c r="T10" s="78" t="s">
        <v>481</v>
      </c>
      <c r="U10" s="78" t="s">
        <v>482</v>
      </c>
      <c r="V10" s="78" t="s">
        <v>483</v>
      </c>
      <c r="W10" s="78" t="s">
        <v>484</v>
      </c>
      <c r="X10" s="78" t="s">
        <v>485</v>
      </c>
      <c r="Y10" s="78" t="s">
        <v>486</v>
      </c>
      <c r="Z10" s="78" t="s">
        <v>487</v>
      </c>
      <c r="AA10" s="78" t="s">
        <v>488</v>
      </c>
      <c r="AB10" s="78" t="s">
        <v>489</v>
      </c>
      <c r="AC10" s="79" t="s">
        <v>490</v>
      </c>
      <c r="AD10" s="80" t="s">
        <v>436</v>
      </c>
    </row>
    <row r="11" spans="2:30" ht="15" thickBot="1">
      <c r="B11" s="81" t="s">
        <v>427</v>
      </c>
      <c r="C11" s="82"/>
      <c r="D11" s="83">
        <v>3</v>
      </c>
      <c r="E11" s="84"/>
      <c r="F11" s="85" t="s">
        <v>395</v>
      </c>
      <c r="G11" s="86" t="s">
        <v>396</v>
      </c>
      <c r="H11" s="86" t="s">
        <v>397</v>
      </c>
      <c r="I11" s="86" t="s">
        <v>398</v>
      </c>
      <c r="J11" s="86" t="s">
        <v>399</v>
      </c>
      <c r="K11" s="86" t="s">
        <v>400</v>
      </c>
      <c r="L11" s="87" t="s">
        <v>401</v>
      </c>
      <c r="M11" s="53">
        <v>0</v>
      </c>
      <c r="N11" s="54">
        <v>0</v>
      </c>
      <c r="O11" s="55">
        <v>0</v>
      </c>
      <c r="P11" s="55">
        <v>1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4.5">
      <c r="B12" s="88" t="s">
        <v>405</v>
      </c>
      <c r="C12" s="89"/>
      <c r="D12" s="90">
        <v>4</v>
      </c>
      <c r="E12" s="262">
        <f>MIN(SUMPRODUCT($M$11:$AD$11,M12:AD12),1)</f>
        <v>1</v>
      </c>
      <c r="F12" s="259" t="s">
        <v>401</v>
      </c>
      <c r="G12" s="60" t="s">
        <v>401</v>
      </c>
      <c r="H12" s="60" t="s">
        <v>401</v>
      </c>
      <c r="I12" s="60" t="s">
        <v>401</v>
      </c>
      <c r="J12" s="60" t="s">
        <v>401</v>
      </c>
      <c r="K12" s="60" t="s">
        <v>401</v>
      </c>
      <c r="L12" s="61" t="s">
        <v>401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4.5">
      <c r="B13" s="95" t="s">
        <v>406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401</v>
      </c>
      <c r="G13" s="62" t="s">
        <v>401</v>
      </c>
      <c r="H13" s="62" t="s">
        <v>401</v>
      </c>
      <c r="I13" s="62" t="s">
        <v>401</v>
      </c>
      <c r="J13" s="62" t="s">
        <v>401</v>
      </c>
      <c r="K13" s="62" t="s">
        <v>401</v>
      </c>
      <c r="L13" s="63" t="s">
        <v>401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4.5">
      <c r="B14" s="95" t="s">
        <v>407</v>
      </c>
      <c r="C14" s="96"/>
      <c r="D14" s="90">
        <v>6</v>
      </c>
      <c r="E14" s="263">
        <f t="shared" si="0"/>
        <v>0</v>
      </c>
      <c r="F14" s="260" t="s">
        <v>401</v>
      </c>
      <c r="G14" s="62" t="s">
        <v>408</v>
      </c>
      <c r="H14" s="62" t="s">
        <v>408</v>
      </c>
      <c r="I14" s="62" t="s">
        <v>408</v>
      </c>
      <c r="J14" s="62" t="s">
        <v>408</v>
      </c>
      <c r="K14" s="62" t="s">
        <v>408</v>
      </c>
      <c r="L14" s="63" t="s">
        <v>408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4.5">
      <c r="B15" s="95" t="s">
        <v>409</v>
      </c>
      <c r="C15" s="96"/>
      <c r="D15" s="90">
        <v>7</v>
      </c>
      <c r="E15" s="263">
        <f t="shared" si="0"/>
        <v>0</v>
      </c>
      <c r="F15" s="260" t="s">
        <v>408</v>
      </c>
      <c r="G15" s="62" t="s">
        <v>400</v>
      </c>
      <c r="H15" s="62" t="s">
        <v>408</v>
      </c>
      <c r="I15" s="62" t="s">
        <v>408</v>
      </c>
      <c r="J15" s="62" t="s">
        <v>408</v>
      </c>
      <c r="K15" s="62" t="s">
        <v>408</v>
      </c>
      <c r="L15" s="63" t="s">
        <v>408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4.5">
      <c r="B16" s="100" t="s">
        <v>421</v>
      </c>
      <c r="C16" s="96"/>
      <c r="D16" s="90">
        <v>8</v>
      </c>
      <c r="E16" s="263">
        <f t="shared" si="0"/>
        <v>1</v>
      </c>
      <c r="F16" s="260" t="s">
        <v>408</v>
      </c>
      <c r="G16" s="62" t="s">
        <v>408</v>
      </c>
      <c r="H16" s="62" t="s">
        <v>408</v>
      </c>
      <c r="I16" s="62" t="s">
        <v>408</v>
      </c>
      <c r="J16" s="62" t="s">
        <v>401</v>
      </c>
      <c r="K16" s="62" t="s">
        <v>408</v>
      </c>
      <c r="L16" s="63" t="s">
        <v>408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4.5">
      <c r="B17" s="100" t="s">
        <v>422</v>
      </c>
      <c r="C17" s="96"/>
      <c r="D17" s="90">
        <v>9</v>
      </c>
      <c r="E17" s="263">
        <f t="shared" si="0"/>
        <v>1</v>
      </c>
      <c r="F17" s="260" t="s">
        <v>408</v>
      </c>
      <c r="G17" s="62" t="s">
        <v>408</v>
      </c>
      <c r="H17" s="62" t="s">
        <v>408</v>
      </c>
      <c r="I17" s="62" t="s">
        <v>408</v>
      </c>
      <c r="J17" s="62" t="s">
        <v>408</v>
      </c>
      <c r="K17" s="62" t="s">
        <v>408</v>
      </c>
      <c r="L17" s="63" t="s">
        <v>401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4.5">
      <c r="B18" s="100" t="s">
        <v>423</v>
      </c>
      <c r="C18" s="96"/>
      <c r="D18" s="90">
        <v>10</v>
      </c>
      <c r="E18" s="263">
        <f t="shared" si="0"/>
        <v>1</v>
      </c>
      <c r="F18" s="260" t="s">
        <v>401</v>
      </c>
      <c r="G18" s="62" t="s">
        <v>408</v>
      </c>
      <c r="H18" s="62" t="s">
        <v>408</v>
      </c>
      <c r="I18" s="62" t="s">
        <v>408</v>
      </c>
      <c r="J18" s="62" t="s">
        <v>408</v>
      </c>
      <c r="K18" s="62" t="s">
        <v>408</v>
      </c>
      <c r="L18" s="63" t="s">
        <v>408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4.5">
      <c r="B19" s="95" t="s">
        <v>661</v>
      </c>
      <c r="C19" s="96"/>
      <c r="D19" s="90"/>
      <c r="E19" s="263">
        <v>1</v>
      </c>
      <c r="F19" s="260" t="s">
        <v>401</v>
      </c>
      <c r="G19" s="62" t="s">
        <v>401</v>
      </c>
      <c r="H19" s="62" t="s">
        <v>401</v>
      </c>
      <c r="I19" s="62" t="s">
        <v>401</v>
      </c>
      <c r="J19" s="62" t="s">
        <v>401</v>
      </c>
      <c r="K19" s="62" t="s">
        <v>401</v>
      </c>
      <c r="L19" s="63" t="s">
        <v>401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4.5">
      <c r="B20" s="100" t="s">
        <v>410</v>
      </c>
      <c r="C20" s="96"/>
      <c r="D20" s="90">
        <v>11</v>
      </c>
      <c r="E20" s="263">
        <f t="shared" si="0"/>
        <v>1</v>
      </c>
      <c r="F20" s="260" t="s">
        <v>401</v>
      </c>
      <c r="G20" s="62" t="s">
        <v>401</v>
      </c>
      <c r="H20" s="62" t="s">
        <v>401</v>
      </c>
      <c r="I20" s="62" t="s">
        <v>401</v>
      </c>
      <c r="J20" s="62" t="s">
        <v>401</v>
      </c>
      <c r="K20" s="62" t="s">
        <v>401</v>
      </c>
      <c r="L20" s="63" t="s">
        <v>401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4.5">
      <c r="B21" s="100" t="s">
        <v>659</v>
      </c>
      <c r="C21" s="96"/>
      <c r="D21" s="90">
        <v>12</v>
      </c>
      <c r="E21" s="263">
        <f t="shared" si="0"/>
        <v>1</v>
      </c>
      <c r="F21" s="260" t="s">
        <v>408</v>
      </c>
      <c r="G21" s="62" t="s">
        <v>408</v>
      </c>
      <c r="H21" s="62" t="s">
        <v>408</v>
      </c>
      <c r="I21" s="62" t="s">
        <v>401</v>
      </c>
      <c r="J21" s="62" t="s">
        <v>408</v>
      </c>
      <c r="K21" s="62" t="s">
        <v>408</v>
      </c>
      <c r="L21" s="63" t="s">
        <v>408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4.5">
      <c r="B22" s="100" t="s">
        <v>424</v>
      </c>
      <c r="C22" s="96"/>
      <c r="D22" s="90">
        <v>13</v>
      </c>
      <c r="E22" s="263">
        <f t="shared" si="0"/>
        <v>1</v>
      </c>
      <c r="F22" s="260" t="s">
        <v>408</v>
      </c>
      <c r="G22" s="62" t="s">
        <v>408</v>
      </c>
      <c r="H22" s="62" t="s">
        <v>408</v>
      </c>
      <c r="I22" s="62" t="s">
        <v>408</v>
      </c>
      <c r="J22" s="62" t="s">
        <v>408</v>
      </c>
      <c r="K22" s="62" t="s">
        <v>408</v>
      </c>
      <c r="L22" s="63" t="s">
        <v>401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4.5">
      <c r="B23" s="100" t="s">
        <v>425</v>
      </c>
      <c r="C23" s="96"/>
      <c r="D23" s="90">
        <v>14</v>
      </c>
      <c r="E23" s="263">
        <f t="shared" si="0"/>
        <v>1</v>
      </c>
      <c r="F23" s="260" t="s">
        <v>401</v>
      </c>
      <c r="G23" s="62" t="s">
        <v>408</v>
      </c>
      <c r="H23" s="62" t="s">
        <v>408</v>
      </c>
      <c r="I23" s="62" t="s">
        <v>408</v>
      </c>
      <c r="J23" s="62" t="s">
        <v>408</v>
      </c>
      <c r="K23" s="62" t="s">
        <v>408</v>
      </c>
      <c r="L23" s="63" t="s">
        <v>408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4.5">
      <c r="B24" s="95" t="s">
        <v>426</v>
      </c>
      <c r="C24" s="96"/>
      <c r="D24" s="90">
        <v>15</v>
      </c>
      <c r="E24" s="263">
        <f t="shared" si="0"/>
        <v>1</v>
      </c>
      <c r="F24" s="260" t="s">
        <v>408</v>
      </c>
      <c r="G24" s="62" t="s">
        <v>408</v>
      </c>
      <c r="H24" s="62" t="s">
        <v>408</v>
      </c>
      <c r="I24" s="62" t="s">
        <v>401</v>
      </c>
      <c r="J24" s="62" t="s">
        <v>408</v>
      </c>
      <c r="K24" s="62" t="s">
        <v>408</v>
      </c>
      <c r="L24" s="63" t="s">
        <v>408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4.5">
      <c r="B25" s="95" t="s">
        <v>411</v>
      </c>
      <c r="C25" s="96"/>
      <c r="D25" s="90">
        <v>16</v>
      </c>
      <c r="E25" s="263">
        <f t="shared" si="0"/>
        <v>0</v>
      </c>
      <c r="F25" s="260" t="s">
        <v>401</v>
      </c>
      <c r="G25" s="62" t="s">
        <v>401</v>
      </c>
      <c r="H25" s="62" t="s">
        <v>401</v>
      </c>
      <c r="I25" s="62" t="s">
        <v>401</v>
      </c>
      <c r="J25" s="62" t="s">
        <v>401</v>
      </c>
      <c r="K25" s="62" t="s">
        <v>401</v>
      </c>
      <c r="L25" s="63" t="s">
        <v>401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4.5">
      <c r="B26" s="95" t="s">
        <v>412</v>
      </c>
      <c r="C26" s="96"/>
      <c r="D26" s="90">
        <v>17</v>
      </c>
      <c r="E26" s="263">
        <f t="shared" si="0"/>
        <v>1</v>
      </c>
      <c r="F26" s="260" t="s">
        <v>401</v>
      </c>
      <c r="G26" s="62" t="s">
        <v>401</v>
      </c>
      <c r="H26" s="62" t="s">
        <v>401</v>
      </c>
      <c r="I26" s="62" t="s">
        <v>401</v>
      </c>
      <c r="J26" s="62" t="s">
        <v>401</v>
      </c>
      <c r="K26" s="62" t="s">
        <v>401</v>
      </c>
      <c r="L26" s="63" t="s">
        <v>401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4.5">
      <c r="B27" s="95" t="s">
        <v>660</v>
      </c>
      <c r="C27" s="96"/>
      <c r="D27" s="90"/>
      <c r="E27" s="263">
        <v>1</v>
      </c>
      <c r="F27" s="260" t="s">
        <v>401</v>
      </c>
      <c r="G27" s="62" t="s">
        <v>401</v>
      </c>
      <c r="H27" s="62" t="s">
        <v>401</v>
      </c>
      <c r="I27" s="62" t="s">
        <v>401</v>
      </c>
      <c r="J27" s="62" t="s">
        <v>401</v>
      </c>
      <c r="K27" s="62" t="s">
        <v>401</v>
      </c>
      <c r="L27" s="63" t="s">
        <v>401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4.5">
      <c r="B28" s="100" t="s">
        <v>413</v>
      </c>
      <c r="C28" s="96"/>
      <c r="D28" s="90">
        <v>18</v>
      </c>
      <c r="E28" s="263">
        <f t="shared" si="0"/>
        <v>1</v>
      </c>
      <c r="F28" s="260" t="s">
        <v>401</v>
      </c>
      <c r="G28" s="62" t="s">
        <v>401</v>
      </c>
      <c r="H28" s="62" t="s">
        <v>401</v>
      </c>
      <c r="I28" s="62" t="s">
        <v>401</v>
      </c>
      <c r="J28" s="62" t="s">
        <v>401</v>
      </c>
      <c r="K28" s="62" t="s">
        <v>401</v>
      </c>
      <c r="L28" s="63" t="s">
        <v>401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4.5">
      <c r="B29" s="95" t="s">
        <v>414</v>
      </c>
      <c r="C29" s="96"/>
      <c r="D29" s="90">
        <v>19</v>
      </c>
      <c r="E29" s="263">
        <v>1</v>
      </c>
      <c r="F29" s="260" t="s">
        <v>401</v>
      </c>
      <c r="G29" s="260" t="s">
        <v>401</v>
      </c>
      <c r="H29" s="260" t="s">
        <v>401</v>
      </c>
      <c r="I29" s="260" t="s">
        <v>401</v>
      </c>
      <c r="J29" s="260" t="s">
        <v>401</v>
      </c>
      <c r="K29" s="260" t="s">
        <v>401</v>
      </c>
      <c r="L29" s="260" t="s">
        <v>401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4.5">
      <c r="B30" s="95" t="s">
        <v>415</v>
      </c>
      <c r="C30" s="96"/>
      <c r="D30" s="90">
        <v>20</v>
      </c>
      <c r="E30" s="263">
        <f t="shared" si="0"/>
        <v>1</v>
      </c>
      <c r="F30" s="260" t="s">
        <v>401</v>
      </c>
      <c r="G30" s="62" t="s">
        <v>401</v>
      </c>
      <c r="H30" s="62" t="s">
        <v>401</v>
      </c>
      <c r="I30" s="62" t="s">
        <v>401</v>
      </c>
      <c r="J30" s="62" t="s">
        <v>401</v>
      </c>
      <c r="K30" s="62" t="s">
        <v>401</v>
      </c>
      <c r="L30" s="63" t="s">
        <v>401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4.5">
      <c r="B31" s="95" t="s">
        <v>416</v>
      </c>
      <c r="C31" s="96"/>
      <c r="D31" s="90">
        <v>21</v>
      </c>
      <c r="E31" s="263">
        <f t="shared" si="0"/>
        <v>0</v>
      </c>
      <c r="F31" s="260" t="s">
        <v>408</v>
      </c>
      <c r="G31" s="62" t="s">
        <v>408</v>
      </c>
      <c r="H31" s="62" t="s">
        <v>401</v>
      </c>
      <c r="I31" s="62" t="s">
        <v>408</v>
      </c>
      <c r="J31" s="62" t="s">
        <v>408</v>
      </c>
      <c r="K31" s="62" t="s">
        <v>408</v>
      </c>
      <c r="L31" s="63" t="s">
        <v>408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4.5">
      <c r="B32" s="95" t="s">
        <v>417</v>
      </c>
      <c r="C32" s="96"/>
      <c r="D32" s="90">
        <v>22</v>
      </c>
      <c r="E32" s="263">
        <f t="shared" si="0"/>
        <v>0</v>
      </c>
      <c r="F32" s="260" t="s">
        <v>400</v>
      </c>
      <c r="G32" s="62" t="s">
        <v>400</v>
      </c>
      <c r="H32" s="62" t="s">
        <v>400</v>
      </c>
      <c r="I32" s="62" t="s">
        <v>400</v>
      </c>
      <c r="J32" s="62" t="s">
        <v>400</v>
      </c>
      <c r="K32" s="62" t="s">
        <v>400</v>
      </c>
      <c r="L32" s="63" t="s">
        <v>401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4.5">
      <c r="B33" s="100" t="s">
        <v>418</v>
      </c>
      <c r="C33" s="96"/>
      <c r="D33" s="90">
        <v>23</v>
      </c>
      <c r="E33" s="263">
        <f t="shared" si="0"/>
        <v>1</v>
      </c>
      <c r="F33" s="260" t="s">
        <v>401</v>
      </c>
      <c r="G33" s="62" t="s">
        <v>401</v>
      </c>
      <c r="H33" s="62" t="s">
        <v>401</v>
      </c>
      <c r="I33" s="62" t="s">
        <v>401</v>
      </c>
      <c r="J33" s="62" t="s">
        <v>401</v>
      </c>
      <c r="K33" s="62" t="s">
        <v>401</v>
      </c>
      <c r="L33" s="63" t="s">
        <v>401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4.5">
      <c r="B34" s="100" t="s">
        <v>419</v>
      </c>
      <c r="C34" s="96"/>
      <c r="D34" s="90">
        <v>24</v>
      </c>
      <c r="E34" s="263">
        <f t="shared" si="0"/>
        <v>1</v>
      </c>
      <c r="F34" s="260" t="s">
        <v>401</v>
      </c>
      <c r="G34" s="62" t="s">
        <v>401</v>
      </c>
      <c r="H34" s="62" t="s">
        <v>401</v>
      </c>
      <c r="I34" s="62" t="s">
        <v>401</v>
      </c>
      <c r="J34" s="62" t="s">
        <v>401</v>
      </c>
      <c r="K34" s="62" t="s">
        <v>401</v>
      </c>
      <c r="L34" s="63" t="s">
        <v>401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" thickBot="1">
      <c r="B35" s="101" t="s">
        <v>420</v>
      </c>
      <c r="C35" s="102"/>
      <c r="D35" s="103">
        <v>25</v>
      </c>
      <c r="E35" s="264">
        <f t="shared" si="0"/>
        <v>0</v>
      </c>
      <c r="F35" s="261" t="s">
        <v>400</v>
      </c>
      <c r="G35" s="64" t="s">
        <v>400</v>
      </c>
      <c r="H35" s="64" t="s">
        <v>400</v>
      </c>
      <c r="I35" s="64" t="s">
        <v>400</v>
      </c>
      <c r="J35" s="64" t="s">
        <v>400</v>
      </c>
      <c r="K35" s="64" t="s">
        <v>400</v>
      </c>
      <c r="L35" s="65" t="s">
        <v>401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53125" defaultRowHeight="14.5"/>
  <cols>
    <col min="1" max="1" width="9.7265625" style="212" customWidth="1"/>
    <col min="2" max="2" width="7" style="194" customWidth="1"/>
    <col min="3" max="3" width="27.7265625" style="194" customWidth="1"/>
    <col min="4" max="10" width="8.81640625" style="194" customWidth="1"/>
    <col min="11" max="14" width="11.453125" style="194" customWidth="1"/>
    <col min="15" max="15" width="12.26953125" customWidth="1"/>
    <col min="16" max="16" width="16.54296875" style="194" customWidth="1"/>
    <col min="17" max="16384" width="11.453125" style="194"/>
  </cols>
  <sheetData>
    <row r="1" spans="1:16">
      <c r="A1" s="8" t="s">
        <v>461</v>
      </c>
      <c r="B1"/>
      <c r="D1" s="177" t="s">
        <v>555</v>
      </c>
      <c r="O1" s="194"/>
    </row>
    <row r="2" spans="1:16">
      <c r="A2" s="194"/>
      <c r="B2" s="194" t="s">
        <v>462</v>
      </c>
    </row>
    <row r="3" spans="1:16" ht="20.149999999999999" customHeight="1">
      <c r="A3" s="297" t="s">
        <v>249</v>
      </c>
      <c r="B3" s="195" t="s">
        <v>86</v>
      </c>
      <c r="C3" s="196"/>
      <c r="D3" s="299" t="s">
        <v>463</v>
      </c>
      <c r="E3" s="300"/>
      <c r="F3" s="300"/>
      <c r="G3" s="300"/>
      <c r="H3" s="300"/>
      <c r="I3" s="300"/>
      <c r="J3" s="301"/>
      <c r="K3" s="197"/>
      <c r="L3" s="197"/>
      <c r="M3" s="197"/>
      <c r="N3" s="197"/>
      <c r="O3" s="154"/>
      <c r="P3" s="197"/>
    </row>
    <row r="4" spans="1:16" ht="20.149999999999999" customHeight="1">
      <c r="A4" s="298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260</v>
      </c>
      <c r="P5" s="204" t="s">
        <v>259</v>
      </c>
    </row>
    <row r="6" spans="1:16" ht="20.149999999999999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374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374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7.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263</v>
      </c>
      <c r="O11" s="98" t="s">
        <v>261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263</v>
      </c>
      <c r="O12" s="98" t="s">
        <v>261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263</v>
      </c>
      <c r="O13" s="98" t="s">
        <v>261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263</v>
      </c>
      <c r="O14" s="98" t="s">
        <v>261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263</v>
      </c>
      <c r="O15" s="98" t="s">
        <v>261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263</v>
      </c>
      <c r="O16" s="98" t="s">
        <v>261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263</v>
      </c>
      <c r="O17" s="98" t="s">
        <v>262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263</v>
      </c>
      <c r="O18" s="98" t="s">
        <v>262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263</v>
      </c>
      <c r="O19" s="98" t="s">
        <v>262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263</v>
      </c>
      <c r="O20" s="98" t="s">
        <v>262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263</v>
      </c>
      <c r="O21" s="98" t="s">
        <v>262</v>
      </c>
      <c r="P21" s="200" t="s">
        <v>117</v>
      </c>
    </row>
    <row r="22" spans="1:16" ht="2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263</v>
      </c>
      <c r="O22" s="98" t="s">
        <v>262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Hoffmann Klaus</cp:lastModifiedBy>
  <cp:lastPrinted>2015-03-20T22:59:10Z</cp:lastPrinted>
  <dcterms:created xsi:type="dcterms:W3CDTF">2015-01-15T05:25:41Z</dcterms:created>
  <dcterms:modified xsi:type="dcterms:W3CDTF">2023-01-23T18:02:38Z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